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Core\Board\Board Meetings\May 2024 Operational Board Meeting\Post Publicly\"/>
    </mc:Choice>
  </mc:AlternateContent>
  <xr:revisionPtr revIDLastSave="0" documentId="13_ncr:1_{5C064315-ABF4-4F1F-8562-BBA0B033F51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Y22AFY23AFY24B" sheetId="3" r:id="rId1"/>
    <sheet name="original prophix export data" sheetId="2" r:id="rId2"/>
  </sheets>
  <calcPr calcId="191029"/>
</workbook>
</file>

<file path=xl/calcChain.xml><?xml version="1.0" encoding="utf-8"?>
<calcChain xmlns="http://schemas.openxmlformats.org/spreadsheetml/2006/main">
  <c r="M61" i="3" l="1"/>
  <c r="AB48" i="3"/>
  <c r="AB47" i="3"/>
  <c r="AB46" i="3"/>
  <c r="AB45" i="3"/>
  <c r="AB44" i="3"/>
  <c r="AB43" i="3"/>
  <c r="AB42" i="3"/>
  <c r="AB41" i="3"/>
  <c r="AB40" i="3"/>
  <c r="AB39" i="3"/>
  <c r="AB38" i="3"/>
  <c r="AB37" i="3"/>
  <c r="AB36" i="3"/>
  <c r="AB35" i="3"/>
  <c r="AB34" i="3"/>
  <c r="AB32" i="3"/>
  <c r="AB31" i="3"/>
  <c r="AB29" i="3"/>
  <c r="AB28" i="3"/>
  <c r="AB27" i="3"/>
  <c r="AB26" i="3"/>
  <c r="AB25" i="3"/>
  <c r="AB24" i="3"/>
  <c r="AB23" i="3"/>
  <c r="AB22" i="3"/>
  <c r="AB20" i="3"/>
  <c r="AB19" i="3"/>
  <c r="AB18" i="3"/>
  <c r="AB17" i="3"/>
  <c r="AB16" i="3"/>
  <c r="AB15" i="3"/>
  <c r="AB14" i="3"/>
  <c r="AB12" i="3"/>
  <c r="AD12" i="3" s="1"/>
  <c r="Y48" i="3"/>
  <c r="Y47" i="3"/>
  <c r="Y46" i="3"/>
  <c r="Y45" i="3"/>
  <c r="Y44" i="3"/>
  <c r="Y43" i="3"/>
  <c r="Y42" i="3"/>
  <c r="Y41" i="3"/>
  <c r="Y40" i="3"/>
  <c r="Y39" i="3"/>
  <c r="Y38" i="3"/>
  <c r="Y37" i="3"/>
  <c r="Y36" i="3"/>
  <c r="Y35" i="3"/>
  <c r="Y34" i="3"/>
  <c r="Y33" i="3"/>
  <c r="Y32" i="3"/>
  <c r="Y31" i="3"/>
  <c r="Y29" i="3"/>
  <c r="Y28" i="3"/>
  <c r="Y27" i="3"/>
  <c r="Y26" i="3"/>
  <c r="Y25" i="3"/>
  <c r="Y24" i="3"/>
  <c r="Y23" i="3"/>
  <c r="Y22" i="3"/>
  <c r="Y21" i="3"/>
  <c r="Y20" i="3"/>
  <c r="Y19" i="3"/>
  <c r="Y18" i="3"/>
  <c r="Y17" i="3"/>
  <c r="Y16" i="3"/>
  <c r="Y15" i="3"/>
  <c r="Y14" i="3"/>
  <c r="Y13" i="3"/>
  <c r="Y12" i="3"/>
  <c r="V48" i="3"/>
  <c r="V47" i="3"/>
  <c r="V46" i="3"/>
  <c r="V45" i="3"/>
  <c r="V44" i="3"/>
  <c r="V43" i="3"/>
  <c r="V42" i="3"/>
  <c r="V41" i="3"/>
  <c r="V40" i="3"/>
  <c r="V39" i="3"/>
  <c r="V38" i="3"/>
  <c r="V37" i="3"/>
  <c r="V36" i="3"/>
  <c r="V35" i="3"/>
  <c r="V34" i="3"/>
  <c r="V33" i="3"/>
  <c r="V32" i="3"/>
  <c r="V31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CJ56" i="3" l="1"/>
  <c r="CJ55" i="3"/>
  <c r="CJ54" i="3"/>
  <c r="CJ53" i="3"/>
  <c r="CJ52" i="3"/>
  <c r="CJ51" i="3"/>
  <c r="CJ50" i="3"/>
  <c r="CJ49" i="3"/>
  <c r="CJ48" i="3"/>
  <c r="CJ47" i="3"/>
  <c r="CJ46" i="3"/>
  <c r="CJ45" i="3"/>
  <c r="CJ44" i="3"/>
  <c r="CJ43" i="3"/>
  <c r="CJ42" i="3"/>
  <c r="CJ41" i="3"/>
  <c r="CJ40" i="3"/>
  <c r="CJ32" i="3"/>
  <c r="CJ29" i="3"/>
  <c r="CJ28" i="3"/>
  <c r="CJ27" i="3"/>
  <c r="CJ24" i="3"/>
  <c r="CJ23" i="3"/>
  <c r="BY56" i="3"/>
  <c r="BY55" i="3"/>
  <c r="BY54" i="3"/>
  <c r="BY53" i="3"/>
  <c r="BY52" i="3"/>
  <c r="BY51" i="3"/>
  <c r="BY50" i="3"/>
  <c r="BY49" i="3"/>
  <c r="BY48" i="3"/>
  <c r="BY47" i="3"/>
  <c r="BY46" i="3"/>
  <c r="BY45" i="3"/>
  <c r="BY44" i="3"/>
  <c r="BY43" i="3"/>
  <c r="BY42" i="3"/>
  <c r="BY41" i="3"/>
  <c r="BY40" i="3"/>
  <c r="BY32" i="3"/>
  <c r="BY29" i="3"/>
  <c r="BY28" i="3"/>
  <c r="BY27" i="3"/>
  <c r="BY24" i="3"/>
  <c r="BY23" i="3"/>
  <c r="BJ56" i="3"/>
  <c r="BJ55" i="3"/>
  <c r="BJ54" i="3"/>
  <c r="BJ53" i="3"/>
  <c r="BJ52" i="3"/>
  <c r="BJ51" i="3"/>
  <c r="BJ50" i="3"/>
  <c r="BJ49" i="3"/>
  <c r="BJ48" i="3"/>
  <c r="BJ47" i="3"/>
  <c r="BJ46" i="3"/>
  <c r="BJ45" i="3"/>
  <c r="BJ44" i="3"/>
  <c r="BJ43" i="3"/>
  <c r="BJ42" i="3"/>
  <c r="BJ41" i="3"/>
  <c r="BJ40" i="3"/>
  <c r="BJ32" i="3"/>
  <c r="BJ29" i="3"/>
  <c r="BJ28" i="3"/>
  <c r="BJ27" i="3"/>
  <c r="BJ24" i="3"/>
  <c r="BJ23" i="3"/>
  <c r="BB39" i="3"/>
  <c r="BC39" i="3"/>
  <c r="BF39" i="3"/>
  <c r="BB40" i="3"/>
  <c r="BC40" i="3"/>
  <c r="BF40" i="3"/>
  <c r="BB41" i="3"/>
  <c r="BC41" i="3"/>
  <c r="BF41" i="3"/>
  <c r="BB42" i="3"/>
  <c r="BC42" i="3"/>
  <c r="BR42" i="3" s="1"/>
  <c r="CC42" i="3" s="1"/>
  <c r="BF42" i="3"/>
  <c r="BB43" i="3"/>
  <c r="BC43" i="3"/>
  <c r="BF43" i="3"/>
  <c r="BB44" i="3"/>
  <c r="BC44" i="3"/>
  <c r="BF44" i="3"/>
  <c r="BB45" i="3"/>
  <c r="BC45" i="3"/>
  <c r="BF45" i="3"/>
  <c r="BB46" i="3"/>
  <c r="BC46" i="3"/>
  <c r="BF46" i="3"/>
  <c r="BB47" i="3"/>
  <c r="BC47" i="3"/>
  <c r="BR47" i="3" s="1"/>
  <c r="CC47" i="3" s="1"/>
  <c r="BF47" i="3"/>
  <c r="BB48" i="3"/>
  <c r="BC48" i="3"/>
  <c r="BF48" i="3"/>
  <c r="BB49" i="3"/>
  <c r="BC49" i="3"/>
  <c r="BF49" i="3"/>
  <c r="BB50" i="3"/>
  <c r="BC50" i="3"/>
  <c r="BF50" i="3"/>
  <c r="BB51" i="3"/>
  <c r="BC51" i="3"/>
  <c r="BF51" i="3"/>
  <c r="BB52" i="3"/>
  <c r="BC52" i="3"/>
  <c r="BF52" i="3"/>
  <c r="BB53" i="3"/>
  <c r="BC53" i="3"/>
  <c r="BF53" i="3"/>
  <c r="BB54" i="3"/>
  <c r="BC54" i="3"/>
  <c r="BF54" i="3"/>
  <c r="BB55" i="3"/>
  <c r="BC55" i="3"/>
  <c r="BR55" i="3" s="1"/>
  <c r="CC55" i="3" s="1"/>
  <c r="BF55" i="3"/>
  <c r="BB56" i="3"/>
  <c r="BC56" i="3"/>
  <c r="BF56" i="3"/>
  <c r="BF32" i="3"/>
  <c r="BF31" i="3"/>
  <c r="BF30" i="3"/>
  <c r="BF29" i="3"/>
  <c r="BF28" i="3"/>
  <c r="BF27" i="3"/>
  <c r="BF26" i="3"/>
  <c r="BF25" i="3"/>
  <c r="BF24" i="3"/>
  <c r="BF23" i="3"/>
  <c r="BF22" i="3"/>
  <c r="BF21" i="3"/>
  <c r="BF20" i="3"/>
  <c r="BF19" i="3"/>
  <c r="BF18" i="3"/>
  <c r="BF17" i="3"/>
  <c r="BF16" i="3"/>
  <c r="BF15" i="3"/>
  <c r="CF56" i="3"/>
  <c r="CB56" i="3"/>
  <c r="CF55" i="3"/>
  <c r="CB55" i="3"/>
  <c r="CF54" i="3"/>
  <c r="CB54" i="3"/>
  <c r="CF53" i="3"/>
  <c r="CB53" i="3"/>
  <c r="CF52" i="3"/>
  <c r="CB52" i="3"/>
  <c r="CF51" i="3"/>
  <c r="CB51" i="3"/>
  <c r="CF50" i="3"/>
  <c r="CB50" i="3"/>
  <c r="CF49" i="3"/>
  <c r="CB49" i="3"/>
  <c r="CF48" i="3"/>
  <c r="CB48" i="3"/>
  <c r="CF47" i="3"/>
  <c r="CB47" i="3"/>
  <c r="CF46" i="3"/>
  <c r="CB46" i="3"/>
  <c r="CF45" i="3"/>
  <c r="CB45" i="3"/>
  <c r="CF44" i="3"/>
  <c r="CB44" i="3"/>
  <c r="CF43" i="3"/>
  <c r="CB43" i="3"/>
  <c r="CF42" i="3"/>
  <c r="CB42" i="3"/>
  <c r="CF41" i="3"/>
  <c r="CB41" i="3"/>
  <c r="CF40" i="3"/>
  <c r="CB40" i="3"/>
  <c r="CF39" i="3"/>
  <c r="CF32" i="3"/>
  <c r="CC32" i="3"/>
  <c r="CB32" i="3"/>
  <c r="CF31" i="3"/>
  <c r="CC31" i="3"/>
  <c r="CB31" i="3"/>
  <c r="CF30" i="3"/>
  <c r="CC30" i="3"/>
  <c r="CB30" i="3"/>
  <c r="CF29" i="3"/>
  <c r="CC29" i="3"/>
  <c r="CB29" i="3"/>
  <c r="CF28" i="3"/>
  <c r="CC28" i="3"/>
  <c r="CB28" i="3"/>
  <c r="CF27" i="3"/>
  <c r="CC27" i="3"/>
  <c r="CB27" i="3"/>
  <c r="CF26" i="3"/>
  <c r="CC26" i="3"/>
  <c r="CB26" i="3"/>
  <c r="CF25" i="3"/>
  <c r="CC25" i="3"/>
  <c r="CB25" i="3"/>
  <c r="CF24" i="3"/>
  <c r="CC24" i="3"/>
  <c r="CB24" i="3"/>
  <c r="CF23" i="3"/>
  <c r="CC23" i="3"/>
  <c r="CB23" i="3"/>
  <c r="CF22" i="3"/>
  <c r="CC22" i="3"/>
  <c r="CB22" i="3"/>
  <c r="CF21" i="3"/>
  <c r="CC21" i="3"/>
  <c r="CB21" i="3"/>
  <c r="CF20" i="3"/>
  <c r="CC20" i="3"/>
  <c r="CB20" i="3"/>
  <c r="CF19" i="3"/>
  <c r="CC19" i="3"/>
  <c r="CB19" i="3"/>
  <c r="CF18" i="3"/>
  <c r="CC18" i="3"/>
  <c r="CB18" i="3"/>
  <c r="CF17" i="3"/>
  <c r="CC17" i="3"/>
  <c r="CB17" i="3"/>
  <c r="CF16" i="3"/>
  <c r="CC16" i="3"/>
  <c r="CB16" i="3"/>
  <c r="CB39" i="3"/>
  <c r="CB15" i="3"/>
  <c r="CF15" i="3"/>
  <c r="CC15" i="3"/>
  <c r="BU56" i="3"/>
  <c r="BR56" i="3"/>
  <c r="CC56" i="3" s="1"/>
  <c r="BQ56" i="3"/>
  <c r="BU55" i="3"/>
  <c r="BQ55" i="3"/>
  <c r="BU54" i="3"/>
  <c r="BR54" i="3"/>
  <c r="CC54" i="3" s="1"/>
  <c r="BQ54" i="3"/>
  <c r="BU53" i="3"/>
  <c r="BR53" i="3"/>
  <c r="CC53" i="3" s="1"/>
  <c r="BQ53" i="3"/>
  <c r="BU52" i="3"/>
  <c r="BR52" i="3"/>
  <c r="CC52" i="3" s="1"/>
  <c r="BQ52" i="3"/>
  <c r="BU51" i="3"/>
  <c r="BR51" i="3"/>
  <c r="CC51" i="3" s="1"/>
  <c r="BQ51" i="3"/>
  <c r="BU50" i="3"/>
  <c r="BR50" i="3"/>
  <c r="CC50" i="3" s="1"/>
  <c r="BQ50" i="3"/>
  <c r="BU49" i="3"/>
  <c r="BR49" i="3"/>
  <c r="CC49" i="3" s="1"/>
  <c r="BQ49" i="3"/>
  <c r="BU48" i="3"/>
  <c r="BR48" i="3"/>
  <c r="CC48" i="3" s="1"/>
  <c r="BQ48" i="3"/>
  <c r="BU47" i="3"/>
  <c r="BQ47" i="3"/>
  <c r="BU46" i="3"/>
  <c r="BR46" i="3"/>
  <c r="CC46" i="3" s="1"/>
  <c r="BQ46" i="3"/>
  <c r="BU45" i="3"/>
  <c r="BR45" i="3"/>
  <c r="CC45" i="3" s="1"/>
  <c r="BQ45" i="3"/>
  <c r="BU44" i="3"/>
  <c r="BR44" i="3"/>
  <c r="CC44" i="3" s="1"/>
  <c r="BQ44" i="3"/>
  <c r="BU43" i="3"/>
  <c r="BR43" i="3"/>
  <c r="CC43" i="3" s="1"/>
  <c r="BQ43" i="3"/>
  <c r="BU42" i="3"/>
  <c r="BQ42" i="3"/>
  <c r="BU41" i="3"/>
  <c r="BR41" i="3"/>
  <c r="CC41" i="3" s="1"/>
  <c r="BQ41" i="3"/>
  <c r="BU40" i="3"/>
  <c r="BR40" i="3"/>
  <c r="CC40" i="3" s="1"/>
  <c r="BQ40" i="3"/>
  <c r="BU39" i="3"/>
  <c r="BR39" i="3"/>
  <c r="CC39" i="3" s="1"/>
  <c r="BQ39" i="3"/>
  <c r="BU32" i="3"/>
  <c r="BR32" i="3"/>
  <c r="BQ32" i="3"/>
  <c r="BU31" i="3"/>
  <c r="BR31" i="3"/>
  <c r="BQ31" i="3"/>
  <c r="BU30" i="3"/>
  <c r="BR30" i="3"/>
  <c r="BQ30" i="3"/>
  <c r="BU29" i="3"/>
  <c r="BR29" i="3"/>
  <c r="BQ29" i="3"/>
  <c r="BU28" i="3"/>
  <c r="BR28" i="3"/>
  <c r="BQ28" i="3"/>
  <c r="BU27" i="3"/>
  <c r="BR27" i="3"/>
  <c r="BQ27" i="3"/>
  <c r="BU26" i="3"/>
  <c r="BR26" i="3"/>
  <c r="BQ26" i="3"/>
  <c r="BU25" i="3"/>
  <c r="BR25" i="3"/>
  <c r="BQ25" i="3"/>
  <c r="BU24" i="3"/>
  <c r="BR24" i="3"/>
  <c r="BQ24" i="3"/>
  <c r="BU23" i="3"/>
  <c r="BR23" i="3"/>
  <c r="BQ23" i="3"/>
  <c r="BU22" i="3"/>
  <c r="BR22" i="3"/>
  <c r="BQ22" i="3"/>
  <c r="BU21" i="3"/>
  <c r="BR21" i="3"/>
  <c r="BQ21" i="3"/>
  <c r="BU20" i="3"/>
  <c r="BR20" i="3"/>
  <c r="BQ20" i="3"/>
  <c r="BU19" i="3"/>
  <c r="BR19" i="3"/>
  <c r="BQ19" i="3"/>
  <c r="BU18" i="3"/>
  <c r="BR18" i="3"/>
  <c r="BQ18" i="3"/>
  <c r="BU17" i="3"/>
  <c r="BR17" i="3"/>
  <c r="BQ17" i="3"/>
  <c r="BU16" i="3"/>
  <c r="BR16" i="3"/>
  <c r="BQ16" i="3"/>
  <c r="BU15" i="3"/>
  <c r="BR15" i="3"/>
  <c r="BQ15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A48" i="3"/>
  <c r="AA47" i="3"/>
  <c r="AA46" i="3"/>
  <c r="AA45" i="3"/>
  <c r="AA44" i="3"/>
  <c r="AA43" i="3"/>
  <c r="AA42" i="3"/>
  <c r="AA41" i="3"/>
  <c r="AA40" i="3"/>
  <c r="AA39" i="3"/>
  <c r="AA38" i="3"/>
  <c r="AA37" i="3"/>
  <c r="AA36" i="3"/>
  <c r="AA35" i="3"/>
  <c r="AA34" i="3"/>
  <c r="AA33" i="3"/>
  <c r="AA32" i="3"/>
  <c r="AA31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A17" i="3"/>
  <c r="AA16" i="3"/>
  <c r="AA15" i="3"/>
  <c r="AA14" i="3"/>
  <c r="AA13" i="3"/>
  <c r="AA12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U48" i="3"/>
  <c r="U47" i="3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U14" i="3"/>
  <c r="U13" i="3"/>
  <c r="U12" i="3"/>
  <c r="BC32" i="3"/>
  <c r="BB32" i="3"/>
  <c r="BC31" i="3"/>
  <c r="BB31" i="3"/>
  <c r="BC30" i="3"/>
  <c r="BB30" i="3"/>
  <c r="BC29" i="3"/>
  <c r="BB29" i="3"/>
  <c r="BC28" i="3"/>
  <c r="BB28" i="3"/>
  <c r="BC27" i="3"/>
  <c r="BB27" i="3"/>
  <c r="BC26" i="3"/>
  <c r="BB26" i="3"/>
  <c r="BC25" i="3"/>
  <c r="BB25" i="3"/>
  <c r="BC24" i="3"/>
  <c r="BB24" i="3"/>
  <c r="BC23" i="3"/>
  <c r="BB23" i="3"/>
  <c r="BC22" i="3"/>
  <c r="BB22" i="3"/>
  <c r="BC21" i="3"/>
  <c r="BB21" i="3"/>
  <c r="BC20" i="3"/>
  <c r="BB20" i="3"/>
  <c r="BC19" i="3"/>
  <c r="BB19" i="3"/>
  <c r="BC18" i="3"/>
  <c r="BB18" i="3"/>
  <c r="BC17" i="3"/>
  <c r="BB17" i="3"/>
  <c r="BC16" i="3"/>
  <c r="BB16" i="3"/>
  <c r="BC15" i="3"/>
  <c r="BB15" i="3"/>
  <c r="N1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49" i="3" s="1"/>
  <c r="R48" i="3"/>
  <c r="R47" i="3"/>
  <c r="R46" i="3"/>
  <c r="R45" i="3"/>
  <c r="R44" i="3"/>
  <c r="R42" i="3"/>
  <c r="R41" i="3"/>
  <c r="R39" i="3"/>
  <c r="R38" i="3"/>
  <c r="R37" i="3"/>
  <c r="R36" i="3"/>
  <c r="R35" i="3"/>
  <c r="R34" i="3"/>
  <c r="R33" i="3"/>
  <c r="R32" i="3"/>
  <c r="R31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S12" i="3" s="1"/>
  <c r="Q52" i="3"/>
  <c r="Q49" i="3"/>
  <c r="BN37" i="3"/>
  <c r="BN38" i="3" s="1"/>
  <c r="BN39" i="3" s="1"/>
  <c r="BN40" i="3" s="1"/>
  <c r="BN41" i="3" s="1"/>
  <c r="BN42" i="3" s="1"/>
  <c r="BN43" i="3" s="1"/>
  <c r="BN44" i="3" s="1"/>
  <c r="BN45" i="3" s="1"/>
  <c r="BN46" i="3" s="1"/>
  <c r="BN47" i="3" s="1"/>
  <c r="BN48" i="3" s="1"/>
  <c r="BN49" i="3" s="1"/>
  <c r="BN50" i="3" s="1"/>
  <c r="BN51" i="3" s="1"/>
  <c r="BM38" i="3"/>
  <c r="BM39" i="3" s="1"/>
  <c r="BM40" i="3" s="1"/>
  <c r="BM41" i="3" s="1"/>
  <c r="BM42" i="3" s="1"/>
  <c r="BM43" i="3" s="1"/>
  <c r="BM44" i="3" s="1"/>
  <c r="BM45" i="3" s="1"/>
  <c r="BM46" i="3" s="1"/>
  <c r="BM47" i="3" s="1"/>
  <c r="BM48" i="3" s="1"/>
  <c r="BM49" i="3" s="1"/>
  <c r="BM50" i="3" s="1"/>
  <c r="BM51" i="3" s="1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P48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T49" i="3"/>
  <c r="L49" i="3"/>
  <c r="H49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F12" i="3"/>
  <c r="G12" i="3" s="1"/>
  <c r="F13" i="3"/>
  <c r="N13" i="3" s="1"/>
  <c r="F14" i="3"/>
  <c r="G14" i="3" s="1"/>
  <c r="F15" i="3"/>
  <c r="G15" i="3" s="1"/>
  <c r="F16" i="3"/>
  <c r="G16" i="3" s="1"/>
  <c r="F17" i="3"/>
  <c r="G17" i="3" s="1"/>
  <c r="F18" i="3"/>
  <c r="G18" i="3" s="1"/>
  <c r="F19" i="3"/>
  <c r="G19" i="3" s="1"/>
  <c r="F20" i="3"/>
  <c r="G20" i="3" s="1"/>
  <c r="F21" i="3"/>
  <c r="G21" i="3" s="1"/>
  <c r="F22" i="3"/>
  <c r="G22" i="3" s="1"/>
  <c r="F23" i="3"/>
  <c r="G23" i="3" s="1"/>
  <c r="F24" i="3"/>
  <c r="G24" i="3" s="1"/>
  <c r="F25" i="3"/>
  <c r="G25" i="3" s="1"/>
  <c r="F26" i="3"/>
  <c r="G26" i="3" s="1"/>
  <c r="F27" i="3"/>
  <c r="G27" i="3" s="1"/>
  <c r="F28" i="3"/>
  <c r="G28" i="3" s="1"/>
  <c r="F29" i="3"/>
  <c r="G29" i="3" s="1"/>
  <c r="F31" i="3"/>
  <c r="G31" i="3" s="1"/>
  <c r="F32" i="3"/>
  <c r="G32" i="3" s="1"/>
  <c r="F33" i="3"/>
  <c r="G33" i="3" s="1"/>
  <c r="F34" i="3"/>
  <c r="G34" i="3" s="1"/>
  <c r="F35" i="3"/>
  <c r="G35" i="3" s="1"/>
  <c r="F36" i="3"/>
  <c r="G36" i="3" s="1"/>
  <c r="F37" i="3"/>
  <c r="G37" i="3" s="1"/>
  <c r="F38" i="3"/>
  <c r="G38" i="3" s="1"/>
  <c r="F39" i="3"/>
  <c r="G39" i="3" s="1"/>
  <c r="F40" i="3"/>
  <c r="G40" i="3" s="1"/>
  <c r="F41" i="3"/>
  <c r="G41" i="3" s="1"/>
  <c r="F42" i="3"/>
  <c r="G42" i="3" s="1"/>
  <c r="F43" i="3"/>
  <c r="G43" i="3" s="1"/>
  <c r="F44" i="3"/>
  <c r="G44" i="3" s="1"/>
  <c r="F45" i="3"/>
  <c r="G45" i="3" s="1"/>
  <c r="F46" i="3"/>
  <c r="G46" i="3" s="1"/>
  <c r="F47" i="3"/>
  <c r="G47" i="3" s="1"/>
  <c r="F48" i="3"/>
  <c r="G48" i="3" s="1"/>
  <c r="CF57" i="3" l="1"/>
  <c r="BU57" i="3"/>
  <c r="BF57" i="3"/>
  <c r="N20" i="3"/>
  <c r="N27" i="3"/>
  <c r="N28" i="3"/>
  <c r="N36" i="3"/>
  <c r="N37" i="3"/>
  <c r="N44" i="3"/>
  <c r="N12" i="3"/>
  <c r="N45" i="3"/>
  <c r="G13" i="3"/>
  <c r="N17" i="3"/>
  <c r="N25" i="3"/>
  <c r="N34" i="3"/>
  <c r="N42" i="3"/>
  <c r="N18" i="3"/>
  <c r="N26" i="3"/>
  <c r="N35" i="3"/>
  <c r="N43" i="3"/>
  <c r="G49" i="3"/>
  <c r="H53" i="3" s="1"/>
  <c r="P49" i="3"/>
  <c r="N21" i="3"/>
  <c r="N29" i="3"/>
  <c r="N38" i="3"/>
  <c r="N46" i="3"/>
  <c r="K49" i="3"/>
  <c r="N14" i="3"/>
  <c r="N49" i="3" s="1"/>
  <c r="N52" i="3" s="1"/>
  <c r="Z33" i="3" s="1"/>
  <c r="BW41" i="3" s="1"/>
  <c r="N22" i="3"/>
  <c r="N31" i="3"/>
  <c r="N39" i="3"/>
  <c r="N47" i="3"/>
  <c r="N15" i="3"/>
  <c r="N23" i="3"/>
  <c r="N32" i="3"/>
  <c r="N40" i="3"/>
  <c r="N48" i="3"/>
  <c r="N16" i="3"/>
  <c r="N24" i="3"/>
  <c r="N33" i="3"/>
  <c r="N41" i="3"/>
  <c r="R49" i="3"/>
  <c r="L53" i="3"/>
  <c r="S49" i="3"/>
  <c r="O37" i="3"/>
  <c r="O29" i="3"/>
  <c r="O45" i="3"/>
  <c r="O21" i="3"/>
  <c r="O13" i="3"/>
  <c r="O19" i="3"/>
  <c r="O34" i="3"/>
  <c r="O38" i="3"/>
  <c r="O22" i="3"/>
  <c r="O25" i="3"/>
  <c r="O35" i="3"/>
  <c r="O41" i="3"/>
  <c r="O36" i="3"/>
  <c r="O43" i="3"/>
  <c r="O42" i="3"/>
  <c r="O26" i="3"/>
  <c r="O14" i="3"/>
  <c r="O33" i="3"/>
  <c r="O32" i="3"/>
  <c r="O17" i="3"/>
  <c r="O44" i="3"/>
  <c r="O28" i="3"/>
  <c r="O20" i="3"/>
  <c r="O27" i="3"/>
  <c r="O23" i="3"/>
  <c r="O15" i="3"/>
  <c r="O18" i="3"/>
  <c r="O46" i="3"/>
  <c r="O16" i="3"/>
  <c r="O31" i="3"/>
  <c r="O39" i="3"/>
  <c r="O47" i="3"/>
  <c r="O24" i="3"/>
  <c r="O40" i="3"/>
  <c r="O48" i="3"/>
  <c r="O12" i="3"/>
  <c r="Z35" i="3" l="1"/>
  <c r="BW43" i="3" s="1"/>
  <c r="Z37" i="3"/>
  <c r="BW45" i="3" s="1"/>
  <c r="Z32" i="3"/>
  <c r="BW40" i="3" s="1"/>
  <c r="Z28" i="3"/>
  <c r="BW31" i="3" s="1"/>
  <c r="R52" i="3"/>
  <c r="Z23" i="3"/>
  <c r="BW26" i="3" s="1"/>
  <c r="Z29" i="3"/>
  <c r="BW32" i="3" s="1"/>
  <c r="Z34" i="3"/>
  <c r="BW42" i="3" s="1"/>
  <c r="Z20" i="3"/>
  <c r="BW23" i="3" s="1"/>
  <c r="Z48" i="3"/>
  <c r="BW56" i="3" s="1"/>
  <c r="Z16" i="3"/>
  <c r="BW19" i="3" s="1"/>
  <c r="Z38" i="3"/>
  <c r="BW46" i="3" s="1"/>
  <c r="Z18" i="3"/>
  <c r="BW21" i="3" s="1"/>
  <c r="T53" i="3"/>
  <c r="Z15" i="3"/>
  <c r="BW18" i="3" s="1"/>
  <c r="Z21" i="3"/>
  <c r="BW24" i="3" s="1"/>
  <c r="Z17" i="3"/>
  <c r="BW20" i="3" s="1"/>
  <c r="Z36" i="3"/>
  <c r="BW44" i="3" s="1"/>
  <c r="Z39" i="3"/>
  <c r="BW47" i="3" s="1"/>
  <c r="Z13" i="3"/>
  <c r="BW16" i="3" s="1"/>
  <c r="Z42" i="3"/>
  <c r="BW50" i="3" s="1"/>
  <c r="Z19" i="3"/>
  <c r="BW22" i="3" s="1"/>
  <c r="O49" i="3"/>
  <c r="O61" i="3" s="1"/>
  <c r="Z31" i="3"/>
  <c r="BW39" i="3" s="1"/>
  <c r="Z24" i="3"/>
  <c r="BW27" i="3" s="1"/>
  <c r="Z26" i="3"/>
  <c r="BW29" i="3" s="1"/>
  <c r="M52" i="3"/>
  <c r="N61" i="3"/>
  <c r="Z22" i="3"/>
  <c r="BW25" i="3" s="1"/>
  <c r="Z46" i="3"/>
  <c r="BW54" i="3" s="1"/>
  <c r="Z25" i="3"/>
  <c r="BW28" i="3" s="1"/>
  <c r="Z14" i="3"/>
  <c r="BW17" i="3" s="1"/>
  <c r="Z27" i="3"/>
  <c r="BW30" i="3" s="1"/>
  <c r="Z47" i="3"/>
  <c r="BW55" i="3" s="1"/>
  <c r="Z44" i="3"/>
  <c r="BW52" i="3" s="1"/>
  <c r="Z43" i="3"/>
  <c r="BW51" i="3" s="1"/>
  <c r="Z41" i="3"/>
  <c r="BW49" i="3" s="1"/>
  <c r="Z40" i="3"/>
  <c r="BW48" i="3" s="1"/>
  <c r="Z45" i="3"/>
  <c r="BW53" i="3" s="1"/>
  <c r="O52" i="3" l="1"/>
  <c r="Z12" i="3"/>
  <c r="Y49" i="3"/>
  <c r="Z49" i="3" l="1"/>
  <c r="BW15" i="3"/>
  <c r="W44" i="3"/>
  <c r="BH52" i="3" s="1"/>
  <c r="W39" i="3"/>
  <c r="BH47" i="3" s="1"/>
  <c r="W24" i="3"/>
  <c r="BH27" i="3" s="1"/>
  <c r="W47" i="3"/>
  <c r="BH55" i="3" s="1"/>
  <c r="W26" i="3"/>
  <c r="BH29" i="3" s="1"/>
  <c r="AC44" i="3"/>
  <c r="CH52" i="3" s="1"/>
  <c r="AC21" i="3"/>
  <c r="CH24" i="3" s="1"/>
  <c r="AC45" i="3"/>
  <c r="CH53" i="3" s="1"/>
  <c r="AC37" i="3"/>
  <c r="CH45" i="3" s="1"/>
  <c r="AC15" i="3"/>
  <c r="CH18" i="3" s="1"/>
  <c r="AC41" i="3"/>
  <c r="CH49" i="3" s="1"/>
  <c r="AC19" i="3"/>
  <c r="CH22" i="3" s="1"/>
  <c r="AC23" i="3"/>
  <c r="CH26" i="3" s="1"/>
  <c r="AC17" i="3"/>
  <c r="CH20" i="3" s="1"/>
  <c r="AC27" i="3"/>
  <c r="CH30" i="3" s="1"/>
  <c r="AC13" i="3"/>
  <c r="CH16" i="3" s="1"/>
  <c r="AC22" i="3"/>
  <c r="CH25" i="3" s="1"/>
  <c r="AC18" i="3"/>
  <c r="CH21" i="3" s="1"/>
  <c r="AC32" i="3"/>
  <c r="CH40" i="3" s="1"/>
  <c r="AC25" i="3"/>
  <c r="CH28" i="3" s="1"/>
  <c r="AC36" i="3"/>
  <c r="CH44" i="3" s="1"/>
  <c r="AC46" i="3"/>
  <c r="CH54" i="3" s="1"/>
  <c r="AC29" i="3"/>
  <c r="CH32" i="3" s="1"/>
  <c r="AC38" i="3"/>
  <c r="CH46" i="3" s="1"/>
  <c r="AC40" i="3"/>
  <c r="CH48" i="3" s="1"/>
  <c r="AC34" i="3"/>
  <c r="CH42" i="3" s="1"/>
  <c r="AC48" i="3"/>
  <c r="CH56" i="3" s="1"/>
  <c r="AC42" i="3"/>
  <c r="CH50" i="3" s="1"/>
  <c r="AC28" i="3"/>
  <c r="CH31" i="3" s="1"/>
  <c r="AC20" i="3"/>
  <c r="CH23" i="3" s="1"/>
  <c r="AC43" i="3"/>
  <c r="CH51" i="3" s="1"/>
  <c r="AC47" i="3"/>
  <c r="CH55" i="3" s="1"/>
  <c r="AC39" i="3"/>
  <c r="CH47" i="3" s="1"/>
  <c r="AC35" i="3"/>
  <c r="CH43" i="3" s="1"/>
  <c r="AC31" i="3"/>
  <c r="CH39" i="3" s="1"/>
  <c r="AC16" i="3"/>
  <c r="CH19" i="3" s="1"/>
  <c r="AC26" i="3"/>
  <c r="CH29" i="3" s="1"/>
  <c r="AC24" i="3"/>
  <c r="CH27" i="3" s="1"/>
  <c r="AC14" i="3"/>
  <c r="CH17" i="3" s="1"/>
  <c r="AC33" i="3"/>
  <c r="CH41" i="3" s="1"/>
  <c r="W16" i="3"/>
  <c r="BH19" i="3" s="1"/>
  <c r="W35" i="3"/>
  <c r="BH43" i="3" s="1"/>
  <c r="W20" i="3"/>
  <c r="BH23" i="3" s="1"/>
  <c r="W38" i="3"/>
  <c r="BH46" i="3" s="1"/>
  <c r="W23" i="3"/>
  <c r="BH26" i="3" s="1"/>
  <c r="W33" i="3"/>
  <c r="BH41" i="3" s="1"/>
  <c r="W43" i="3"/>
  <c r="BH51" i="3" s="1"/>
  <c r="W28" i="3"/>
  <c r="BH31" i="3" s="1"/>
  <c r="W46" i="3"/>
  <c r="BH54" i="3" s="1"/>
  <c r="W32" i="3"/>
  <c r="BH40" i="3" s="1"/>
  <c r="W42" i="3"/>
  <c r="BH50" i="3" s="1"/>
  <c r="V49" i="3"/>
  <c r="W12" i="3"/>
  <c r="W29" i="3"/>
  <c r="BH32" i="3" s="1"/>
  <c r="W19" i="3"/>
  <c r="BH22" i="3" s="1"/>
  <c r="W14" i="3"/>
  <c r="BH17" i="3" s="1"/>
  <c r="W40" i="3"/>
  <c r="BH48" i="3" s="1"/>
  <c r="W25" i="3"/>
  <c r="BH28" i="3" s="1"/>
  <c r="W27" i="3"/>
  <c r="BH30" i="3" s="1"/>
  <c r="W45" i="3"/>
  <c r="BH53" i="3" s="1"/>
  <c r="W22" i="3"/>
  <c r="BH25" i="3" s="1"/>
  <c r="W48" i="3"/>
  <c r="BH56" i="3" s="1"/>
  <c r="W13" i="3"/>
  <c r="BH16" i="3" s="1"/>
  <c r="W18" i="3"/>
  <c r="BH21" i="3" s="1"/>
  <c r="W21" i="3"/>
  <c r="BH24" i="3" s="1"/>
  <c r="W15" i="3"/>
  <c r="BH18" i="3" s="1"/>
  <c r="W17" i="3"/>
  <c r="BH20" i="3" s="1"/>
  <c r="W37" i="3"/>
  <c r="BH45" i="3" s="1"/>
  <c r="W34" i="3"/>
  <c r="BH42" i="3" s="1"/>
  <c r="W36" i="3"/>
  <c r="BH44" i="3" s="1"/>
  <c r="W41" i="3"/>
  <c r="BH49" i="3" s="1"/>
  <c r="W31" i="3"/>
  <c r="BH39" i="3" s="1"/>
  <c r="W49" i="3" l="1"/>
  <c r="BH15" i="3"/>
  <c r="AC12" i="3"/>
  <c r="AB49" i="3"/>
  <c r="AC49" i="3" l="1"/>
  <c r="CH1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pxservice</author>
  </authors>
  <commentList>
    <comment ref="R25" authorId="0" shapeId="0" xr:uid="{A4B5A351-7FC0-4B87-A9EF-9111CCE064AB}">
      <text>
        <r>
          <rPr>
            <sz val="11"/>
            <color theme="1"/>
            <rFont val="Calibri"/>
            <family val="2"/>
          </rPr>
          <t>Beth Nawalinski:
This will increase when Brad adds in United's 3rd staff position that will be filled in FY23.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pxservice</author>
  </authors>
  <commentList>
    <comment ref="AA38" authorId="0" shapeId="0" xr:uid="{00000000-0006-0000-0000-000001000000}">
      <text>
        <r>
          <rPr>
            <sz val="11"/>
            <color theme="1"/>
            <rFont val="Calibri"/>
            <family val="2"/>
          </rPr>
          <t>Rebecca Headrick:
Tab labeled "FY24 OPEX" shows all detail supporting totals, including descriptions of each line item and support for requirement</t>
        </r>
      </text>
    </comment>
    <comment ref="AA60" authorId="0" shapeId="0" xr:uid="{00000000-0006-0000-0000-000002000000}">
      <text>
        <r>
          <rPr>
            <sz val="11"/>
            <color theme="1"/>
            <rFont val="Calibri"/>
            <family val="2"/>
          </rPr>
          <t>Beth Nawalinski:
This will increase when Brad adds in United's 3rd staff position that will be filled in FY23.</t>
        </r>
      </text>
    </comment>
  </commentList>
</comments>
</file>

<file path=xl/sharedStrings.xml><?xml version="1.0" encoding="utf-8"?>
<sst xmlns="http://schemas.openxmlformats.org/spreadsheetml/2006/main" count="735" uniqueCount="210">
  <si>
    <t>Overhead Data for FY26 Budget formation</t>
  </si>
  <si>
    <t>Page Member Details</t>
  </si>
  <si>
    <t>Dimensions:</t>
  </si>
  <si>
    <t>Selected members:</t>
  </si>
  <si>
    <t>Reporting Currency</t>
  </si>
  <si>
    <t>Native</t>
  </si>
  <si>
    <t>Time Perspective</t>
  </si>
  <si>
    <t>Base</t>
  </si>
  <si>
    <t>2022</t>
  </si>
  <si>
    <t>2023</t>
  </si>
  <si>
    <t>2024</t>
  </si>
  <si>
    <t>Actual</t>
  </si>
  <si>
    <t>Budget</t>
  </si>
  <si>
    <t>(40) Total Revenues</t>
  </si>
  <si>
    <t>(TEI) Total Expenses plus Taxes/Income</t>
  </si>
  <si>
    <t>(5005) ATTRITION FACTOR</t>
  </si>
  <si>
    <t>(NI) Net Revenue (Expense)</t>
  </si>
  <si>
    <t>(5911) IUT/OVERHEAD</t>
  </si>
  <si>
    <t>11</t>
  </si>
  <si>
    <t>(000) BALANCE SHEET ACCOUNTS</t>
  </si>
  <si>
    <t>(100) Advocacy &amp; Member Relations, AED</t>
  </si>
  <si>
    <t>(101) STANDING COMMITTEES</t>
  </si>
  <si>
    <t>(102) GOVERNANCE</t>
  </si>
  <si>
    <t>(103) EXECUTIVE OFFICE</t>
  </si>
  <si>
    <t>(104) LIB &amp; INFO RESEARCH CENTER (LIRC)</t>
  </si>
  <si>
    <t>(106) HRDR</t>
  </si>
  <si>
    <t>(108) OFF/INTELLECTUAL FRE</t>
  </si>
  <si>
    <t>(111) INTERNATIONAL RELATI</t>
  </si>
  <si>
    <t>(112) OFFICE FOR ACCREDITA</t>
  </si>
  <si>
    <t>(113) Communications Marketing &amp; Media Office</t>
  </si>
  <si>
    <t>(114) DEVELOPMENT OFFICE</t>
  </si>
  <si>
    <t>(115) PUBLIC PROGRAMS</t>
  </si>
  <si>
    <t>(116) DIVERSITY</t>
  </si>
  <si>
    <t>(15) WASHINGTON OFFICE - Rollup of Units 150 and 151</t>
  </si>
  <si>
    <t>(200) AOMR - AED</t>
  </si>
  <si>
    <t>(220) MIDWINTER CONFERENCE</t>
  </si>
  <si>
    <t>(221) ANNUAL CONFERENCE</t>
  </si>
  <si>
    <t>(222) LibLearnX</t>
  </si>
  <si>
    <t>(230) ALA AWARDS</t>
  </si>
  <si>
    <t>(250) MEMBERSHIP SERVICES</t>
  </si>
  <si>
    <t>(251) CHAP.RELATIONS/MEMB.</t>
  </si>
  <si>
    <t>(260) CONTINUING EDUCATION</t>
  </si>
  <si>
    <t>(30x) Pub Dept Roll Up</t>
  </si>
  <si>
    <t>(401) PLA</t>
  </si>
  <si>
    <t>(501) STAFF SUPPORT SERV/O</t>
  </si>
  <si>
    <t>(505) INFORMATION TECHNOLOGY</t>
  </si>
  <si>
    <t>(506) HUMAN RESOURCES</t>
  </si>
  <si>
    <t>(509) DISTRIBUTION CENTER</t>
  </si>
  <si>
    <t>(511) BUILDING MAINTENANCE</t>
  </si>
  <si>
    <t>(550) FINANCE - AED</t>
  </si>
  <si>
    <t>(551) ACCOUNTING</t>
  </si>
  <si>
    <t>(552) FINANCE</t>
  </si>
  <si>
    <t>(591) GENERAL ADMINISTRATION</t>
  </si>
  <si>
    <t>(592) GEN'L FUND ALLOCATION</t>
  </si>
  <si>
    <t>(300) PUBLISHING/AED</t>
  </si>
  <si>
    <t>(301) ALA EDITIONS</t>
  </si>
  <si>
    <t>(302) BOOKLIST</t>
  </si>
  <si>
    <t>(303) AMERICAN LIBRARIES</t>
  </si>
  <si>
    <t>(305) ALA Digital Reference</t>
  </si>
  <si>
    <t>(308) Pubs eLearning</t>
  </si>
  <si>
    <t>(313) ALA GRAPHICS</t>
  </si>
  <si>
    <t>12</t>
  </si>
  <si>
    <t>(403) ACRL</t>
  </si>
  <si>
    <t>(404) CHOICE</t>
  </si>
  <si>
    <t>(405) AASL</t>
  </si>
  <si>
    <t>(406) ASGCLA</t>
  </si>
  <si>
    <t>(410) RUSA</t>
  </si>
  <si>
    <t>(411) UFL</t>
  </si>
  <si>
    <t>(413) ALSC</t>
  </si>
  <si>
    <t>(414) YALSA</t>
  </si>
  <si>
    <t>(415A) 415A - Core: Leadership Infrastructure Futures Rollup</t>
  </si>
  <si>
    <t>13</t>
  </si>
  <si>
    <t>(601) LIBRARY HISTORY RT</t>
  </si>
  <si>
    <t>(602) EXHIBITS RT</t>
  </si>
  <si>
    <t>(604) GOVT DOCUMNTS RT</t>
  </si>
  <si>
    <t>(605) INT FREEDOM RT</t>
  </si>
  <si>
    <t>(606) INTL RELATIONS RT</t>
  </si>
  <si>
    <t>(607) NEW MEMBERS RT</t>
  </si>
  <si>
    <t>(608) LIBRARY RESEARCH RT</t>
  </si>
  <si>
    <t>(609) MAP/GEOSPATIAL RND TBL</t>
  </si>
  <si>
    <t>(610) SOCIAL RSPNS RT</t>
  </si>
  <si>
    <t>(612) LIB INSTRUCTION RT</t>
  </si>
  <si>
    <t>(613) ETHNC MTL INF EXCH RT</t>
  </si>
  <si>
    <t>(614) LEARNRT</t>
  </si>
  <si>
    <t>(615) RETIRED MEMBERS RT</t>
  </si>
  <si>
    <t>(616) GGRT</t>
  </si>
  <si>
    <t>(617) FILM AND MEDIA RT</t>
  </si>
  <si>
    <t>(619) Rainbow RT</t>
  </si>
  <si>
    <t>(620) SRT</t>
  </si>
  <si>
    <t>(621) Graphic Novel and Comic Round Table</t>
  </si>
  <si>
    <t>(622) CSK RT</t>
  </si>
  <si>
    <t>(623A) Library Support Staff RT</t>
  </si>
  <si>
    <t>FUND</t>
  </si>
  <si>
    <t>UNIT</t>
  </si>
  <si>
    <t>TOTEXP less PPP</t>
  </si>
  <si>
    <t>PPP</t>
  </si>
  <si>
    <t>(415A) 415A - Core</t>
  </si>
  <si>
    <t>Net RevExp (no PPP or Overhead)</t>
  </si>
  <si>
    <t>(5911) IUT / OVERHEAD</t>
  </si>
  <si>
    <t>2022 Actual  Total Net</t>
  </si>
  <si>
    <t>2022 Actual Total OH</t>
  </si>
  <si>
    <t>Net RevExp (no Overhead)</t>
  </si>
  <si>
    <t>2023 Actual  Total Net</t>
  </si>
  <si>
    <t>2023 Actual Total OH</t>
  </si>
  <si>
    <t xml:space="preserve">        2024 Budgeted</t>
  </si>
  <si>
    <t>2-year Average Actual Total OH</t>
  </si>
  <si>
    <t>Total '23 Net</t>
  </si>
  <si>
    <t xml:space="preserve">Total '23 OH as a percent of </t>
  </si>
  <si>
    <t xml:space="preserve">Total 2022 OH as a percent of </t>
  </si>
  <si>
    <t>Total 2022 Net</t>
  </si>
  <si>
    <t xml:space="preserve">TOTALS   </t>
  </si>
  <si>
    <t>2024 BUDGETED Total Net</t>
  </si>
  <si>
    <t>2024 BUDGETED Total OH</t>
  </si>
  <si>
    <t xml:space="preserve">Total '24 OH as a percent of </t>
  </si>
  <si>
    <t>Option 1</t>
  </si>
  <si>
    <t>Option 2</t>
  </si>
  <si>
    <t>The amount of OH your unit would have paid in 2024 if</t>
  </si>
  <si>
    <t>your OH</t>
  </si>
  <si>
    <t>in your OH</t>
  </si>
  <si>
    <t>NOS over 15</t>
  </si>
  <si>
    <t>years</t>
  </si>
  <si>
    <t>Factor for 15 year</t>
  </si>
  <si>
    <t>cumulative NOS</t>
  </si>
  <si>
    <t>YR</t>
  </si>
  <si>
    <t>Option 3</t>
  </si>
  <si>
    <t>this is the</t>
  </si>
  <si>
    <t xml:space="preserve">multiplier </t>
  </si>
  <si>
    <t>2024 Budgeted Total Revenue</t>
  </si>
  <si>
    <t>Total OH as a</t>
  </si>
  <si>
    <t>percentage of</t>
  </si>
  <si>
    <t>total Revenue</t>
  </si>
  <si>
    <t>total Expenses</t>
  </si>
  <si>
    <t>NOT INCLUDING OH</t>
  </si>
  <si>
    <t>2-year Average Actual Total Revenue</t>
  </si>
  <si>
    <t>2-year Average Actual Total Expense</t>
  </si>
  <si>
    <t>Total 2-yr Avg OH</t>
  </si>
  <si>
    <t xml:space="preserve">as a percent of </t>
  </si>
  <si>
    <r>
      <t xml:space="preserve">Option 3, Based on </t>
    </r>
    <r>
      <rPr>
        <b/>
        <sz val="11"/>
        <rFont val="Calibri"/>
        <family val="2"/>
      </rPr>
      <t>NOS x ORG WIDE AVG PCTG</t>
    </r>
    <r>
      <rPr>
        <sz val="11"/>
        <rFont val="Calibri"/>
        <family val="2"/>
      </rPr>
      <t xml:space="preserve"> had been in effect for this year</t>
    </r>
  </si>
  <si>
    <r>
      <t xml:space="preserve">Option 1, Based on </t>
    </r>
    <r>
      <rPr>
        <b/>
        <sz val="11"/>
        <rFont val="Calibri"/>
        <family val="2"/>
      </rPr>
      <t xml:space="preserve">PCTG OF EXPENSE </t>
    </r>
    <r>
      <rPr>
        <sz val="11"/>
        <rFont val="Calibri"/>
        <family val="2"/>
      </rPr>
      <t>had been in effect for this year</t>
    </r>
  </si>
  <si>
    <r>
      <t xml:space="preserve">Option 1, Based on </t>
    </r>
    <r>
      <rPr>
        <b/>
        <sz val="11"/>
        <rFont val="Calibri"/>
        <family val="2"/>
      </rPr>
      <t xml:space="preserve">PCTG OF REVENUE </t>
    </r>
    <r>
      <rPr>
        <sz val="11"/>
        <rFont val="Calibri"/>
        <family val="2"/>
      </rPr>
      <t>had been in effect for this year</t>
    </r>
  </si>
  <si>
    <t xml:space="preserve">2-Year Average </t>
  </si>
  <si>
    <t xml:space="preserve"> Revenue FY22+FY23</t>
  </si>
  <si>
    <t xml:space="preserve"> Expenses FY22+FY23</t>
  </si>
  <si>
    <t xml:space="preserve"> OH             FY22+FY23</t>
  </si>
  <si>
    <t xml:space="preserve">However, 2024 </t>
  </si>
  <si>
    <t>BUDGETED OH as</t>
  </si>
  <si>
    <t>a pctg of 2-year</t>
  </si>
  <si>
    <t>avg Revenue is</t>
  </si>
  <si>
    <t>avg Expense is</t>
  </si>
  <si>
    <t>avg NOS is</t>
  </si>
  <si>
    <t>Total 2-yr Avg NOS</t>
  </si>
  <si>
    <t>2-year Average Actual Total NOS before OH</t>
  </si>
  <si>
    <t>Total '24 NOS</t>
  </si>
  <si>
    <t>ACTUAL HISTORICAL DATA - BASED ON AUDITED FINANCIAL STATEMENTS</t>
  </si>
  <si>
    <t xml:space="preserve">            ACTUAL 2-YEAR HISTORICAL AVERAGE</t>
  </si>
  <si>
    <t>2024 Budget</t>
  </si>
  <si>
    <t>required for 15</t>
  </si>
  <si>
    <t xml:space="preserve">cumulative total </t>
  </si>
  <si>
    <r>
      <t xml:space="preserve">Increase / </t>
    </r>
    <r>
      <rPr>
        <b/>
        <sz val="11"/>
        <color rgb="FFFF0000"/>
        <rFont val="Calibri"/>
        <family val="2"/>
      </rPr>
      <t>(Decrease)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 xml:space="preserve">over </t>
    </r>
    <r>
      <rPr>
        <b/>
        <sz val="11"/>
        <color rgb="FFFF0000"/>
        <rFont val="Calibri"/>
        <family val="2"/>
      </rPr>
      <t>(under)</t>
    </r>
    <r>
      <rPr>
        <sz val="11"/>
        <rFont val="Calibri"/>
        <family val="2"/>
      </rPr>
      <t xml:space="preserve"> the 2024 Budgeted amount AS CHARGED</t>
    </r>
  </si>
  <si>
    <t>Your Revenue</t>
  </si>
  <si>
    <t>IMPACT UNDER OPTION 1</t>
  </si>
  <si>
    <t>change +/-</t>
  </si>
  <si>
    <t xml:space="preserve">   ACTUAL 2024 BUDGET</t>
  </si>
  <si>
    <t>IMPACT UNDER OPTION 2</t>
  </si>
  <si>
    <t>Your Expenses</t>
  </si>
  <si>
    <t>IMPACT UNDER OPTION 3</t>
  </si>
  <si>
    <t xml:space="preserve">2024 Budget </t>
  </si>
  <si>
    <t>NOS BEFORE OH</t>
  </si>
  <si>
    <t>YOUR NOS      AFTER OH</t>
  </si>
  <si>
    <t>YOUR NOS BEFORE OH</t>
  </si>
  <si>
    <t>YOUR  OVERHEAD</t>
  </si>
  <si>
    <t>units with a</t>
  </si>
  <si>
    <t>Historical data and 2024 Budget data provided</t>
  </si>
  <si>
    <t>by ALA finance department</t>
  </si>
  <si>
    <t>2024 Budgeted Total Expenses Before OH</t>
  </si>
  <si>
    <t>ALSO, UNDER ALL OPTIONS, THE OH CHARGES WILL BE KNOWN AT THE BEGINNING OF THE YEAR AND WILL BE A "FIXED" LINE ITEM IN EACH UNIT'S BUDGET</t>
  </si>
  <si>
    <t>N/A-General Fund</t>
  </si>
  <si>
    <t xml:space="preserve"> ----</t>
  </si>
  <si>
    <t>your cumulative</t>
  </si>
  <si>
    <t>The projections re cumlative NOS assumes that (a)</t>
  </si>
  <si>
    <t>the 2-year average NOS after OH remains constant, and (b) balances earn 5%/year</t>
  </si>
  <si>
    <t xml:space="preserve"> ---</t>
  </si>
  <si>
    <t xml:space="preserve"> --- </t>
  </si>
  <si>
    <t xml:space="preserve">column have </t>
  </si>
  <si>
    <t>a 2-year avg</t>
  </si>
  <si>
    <t xml:space="preserve"> NOS after OH</t>
  </si>
  <si>
    <t xml:space="preserve">wihich is </t>
  </si>
  <si>
    <t>negative</t>
  </si>
  <si>
    <t>NOTE:</t>
  </si>
  <si>
    <t>assumptions are presented for for puposes of illustration only, as they are unlikely to be true for all units over the entire time period.</t>
  </si>
  <si>
    <t xml:space="preserve"> NOS BEFORE OH         FY22+FY23</t>
  </si>
  <si>
    <t xml:space="preserve">FORMAT FOR PASTING INTO POWER POINT in Columns BA through CU. </t>
  </si>
  <si>
    <t xml:space="preserve">which is </t>
  </si>
  <si>
    <t xml:space="preserve">       IMPACT of Option 1 --- Based on Revenue</t>
  </si>
  <si>
    <t xml:space="preserve">           IMPACT of Option 2 --- Based on Expense</t>
  </si>
  <si>
    <t>Option 4 was eliminated</t>
  </si>
  <si>
    <t>inplementation</t>
  </si>
  <si>
    <t>NOTE: in this IMPACT  section -- columns V through AG -- due to the the fact that we are using the 2-year average percentages times each of the categories (Revenue,</t>
  </si>
  <si>
    <t xml:space="preserve">Expenses, or NOS) the OH charges will, in the future, be more consistent (fluctuate less from year to year) than under the current method. </t>
  </si>
  <si>
    <t xml:space="preserve">IMPACT of Option 3 - Based on NOS </t>
  </si>
  <si>
    <t>due to complexity of</t>
  </si>
  <si>
    <t>Calculations of Cumulative NOS over a 15 year period assume that:   (a) the 2-year average NOS after OH will remain constsnt over the 15 year period</t>
  </si>
  <si>
    <t>(b) the funds will earn an average of 5% per year during the 15 year period, and (c) none of the funds will be spent during the 15 year period. The above</t>
  </si>
  <si>
    <r>
      <rPr>
        <b/>
        <sz val="11"/>
        <color rgb="FFFF0000"/>
        <rFont val="Calibri"/>
        <family val="2"/>
      </rPr>
      <t>blank</t>
    </r>
    <r>
      <rPr>
        <b/>
        <sz val="11"/>
        <color theme="1"/>
        <rFont val="Calibri"/>
        <family val="2"/>
      </rPr>
      <t xml:space="preserve"> in this</t>
    </r>
  </si>
  <si>
    <r>
      <rPr>
        <b/>
        <sz val="11"/>
        <color rgb="FFFF0000"/>
        <rFont val="Calibri"/>
        <family val="2"/>
      </rPr>
      <t xml:space="preserve">blank </t>
    </r>
    <r>
      <rPr>
        <b/>
        <sz val="11"/>
        <color theme="1"/>
        <rFont val="Calibri"/>
        <family val="2"/>
      </rPr>
      <t>in this</t>
    </r>
  </si>
  <si>
    <t>Core Board of Directors Meeting</t>
  </si>
  <si>
    <t>DOC #24.48</t>
  </si>
  <si>
    <t>2 pages</t>
  </si>
  <si>
    <t xml:space="preserve">MAY 2024 </t>
  </si>
  <si>
    <t>DOC #24.51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</si>
</sst>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#.00"/>
    <numFmt numFmtId="165" formatCode="#,###"/>
    <numFmt numFmtId="166" formatCode="#,##0.0000_);[Red]\(#,##0.0000\)"/>
  </numFmts>
  <fonts count="24" x14ac:knownFonts="1">
    <font>
      <sz val="11"/>
      <color theme="1"/>
      <name val="Calibri"/>
      <family val="2"/>
    </font>
    <font>
      <sz val="11"/>
      <color rgb="FFFFFFFF"/>
      <name val="Calibri"/>
      <family val="2"/>
    </font>
    <font>
      <i/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sz val="8"/>
      <color theme="1"/>
      <name val="Calibri"/>
      <family val="2"/>
    </font>
    <font>
      <u/>
      <sz val="11"/>
      <color theme="1"/>
      <name val="Calibri"/>
      <family val="2"/>
    </font>
    <font>
      <b/>
      <sz val="11"/>
      <name val="Calibri"/>
      <family val="2"/>
      <scheme val="minor"/>
    </font>
    <font>
      <sz val="8"/>
      <name val="Calibri"/>
      <family val="2"/>
    </font>
    <font>
      <b/>
      <sz val="14"/>
      <name val="Calibri"/>
      <family val="2"/>
    </font>
    <font>
      <b/>
      <sz val="12"/>
      <color theme="1"/>
      <name val="Calibri"/>
      <family val="2"/>
    </font>
    <font>
      <sz val="10"/>
      <color theme="1"/>
      <name val="Calibri"/>
      <family val="2"/>
    </font>
    <font>
      <b/>
      <i/>
      <sz val="11"/>
      <color theme="1"/>
      <name val="Calibri"/>
      <family val="2"/>
    </font>
    <font>
      <sz val="9"/>
      <color theme="1"/>
      <name val="Calibri"/>
      <family val="2"/>
    </font>
    <font>
      <sz val="9"/>
      <name val="Calibri"/>
      <family val="2"/>
    </font>
    <font>
      <sz val="11"/>
      <color theme="1"/>
      <name val="Calibri"/>
      <family val="2"/>
    </font>
    <font>
      <sz val="11"/>
      <color theme="1"/>
      <name val="Aptos"/>
      <family val="2"/>
    </font>
    <font>
      <b/>
      <u/>
      <sz val="11"/>
      <color theme="1"/>
      <name val="Calibri"/>
      <family val="2"/>
    </font>
    <font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4092B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rgb="FFD2DAE3"/>
      </left>
      <right style="thin">
        <color rgb="FFD2DAE3"/>
      </right>
      <top style="thin">
        <color rgb="FFD2DAE3"/>
      </top>
      <bottom style="thin">
        <color rgb="FFD2DAE3"/>
      </bottom>
      <diagonal/>
    </border>
    <border>
      <left style="thin">
        <color rgb="FF9EB6CE"/>
      </left>
      <right style="thin">
        <color rgb="FF9EB6CE"/>
      </right>
      <top style="thin">
        <color rgb="FF9EB6CE"/>
      </top>
      <bottom style="thin">
        <color rgb="FF9EB6CE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2DAE3"/>
      </left>
      <right/>
      <top style="thin">
        <color rgb="FFD2DAE3"/>
      </top>
      <bottom style="thin">
        <color rgb="FFD2DAE3"/>
      </bottom>
      <diagonal/>
    </border>
    <border>
      <left/>
      <right style="thin">
        <color rgb="FFD2DAE3"/>
      </right>
      <top style="thin">
        <color rgb="FFD2DAE3"/>
      </top>
      <bottom style="thin">
        <color rgb="FFD2DAE3"/>
      </bottom>
      <diagonal/>
    </border>
    <border>
      <left style="thin">
        <color rgb="FF9EB6CE"/>
      </left>
      <right style="thin">
        <color rgb="FF9EB6CE"/>
      </right>
      <top/>
      <bottom style="thin">
        <color rgb="FF9EB6CE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D2DAE3"/>
      </left>
      <right style="thin">
        <color rgb="FFD2DAE3"/>
      </right>
      <top/>
      <bottom style="thin">
        <color rgb="FFD2DAE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D2DAE3"/>
      </left>
      <right style="thin">
        <color rgb="FFD2DAE3"/>
      </right>
      <top/>
      <bottom/>
      <diagonal/>
    </border>
    <border>
      <left style="thin">
        <color rgb="FF9EB6CE"/>
      </left>
      <right style="thin">
        <color rgb="FF9EB6CE"/>
      </right>
      <top style="thin">
        <color rgb="FF9EB6CE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2DAE3"/>
      </left>
      <right/>
      <top/>
      <bottom style="thin">
        <color rgb="FFD2DAE3"/>
      </bottom>
      <diagonal/>
    </border>
    <border>
      <left/>
      <right style="thin">
        <color rgb="FFD2DAE3"/>
      </right>
      <top/>
      <bottom style="thin">
        <color rgb="FFD2DAE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D2DAE3"/>
      </right>
      <top style="medium">
        <color indexed="64"/>
      </top>
      <bottom style="medium">
        <color indexed="64"/>
      </bottom>
      <diagonal/>
    </border>
    <border>
      <left style="thin">
        <color rgb="FFD2DAE3"/>
      </left>
      <right style="thin">
        <color rgb="FFD2DAE3"/>
      </right>
      <top style="medium">
        <color indexed="64"/>
      </top>
      <bottom style="medium">
        <color indexed="64"/>
      </bottom>
      <diagonal/>
    </border>
    <border>
      <left style="thin">
        <color rgb="FFD2DAE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D2DAE3"/>
      </left>
      <right/>
      <top style="medium">
        <color indexed="64"/>
      </top>
      <bottom style="medium">
        <color indexed="64"/>
      </bottom>
      <diagonal/>
    </border>
    <border>
      <left style="thin">
        <color rgb="FFD2DAE3"/>
      </left>
      <right style="thin">
        <color indexed="64"/>
      </right>
      <top style="medium">
        <color indexed="64"/>
      </top>
      <bottom style="thin">
        <color rgb="FFD2DAE3"/>
      </bottom>
      <diagonal/>
    </border>
    <border>
      <left style="thin">
        <color rgb="FFD2DAE3"/>
      </left>
      <right style="thin">
        <color indexed="64"/>
      </right>
      <top style="thin">
        <color rgb="FFD2DAE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D2DAE3"/>
      </bottom>
      <diagonal/>
    </border>
    <border>
      <left style="thin">
        <color indexed="64"/>
      </left>
      <right style="thin">
        <color indexed="64"/>
      </right>
      <top style="thin">
        <color rgb="FFD2DAE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rgb="FFD2DAE3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rgb="FFD2DAE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D2DAE3"/>
      </top>
      <bottom style="thin">
        <color rgb="FFD2DAE3"/>
      </bottom>
      <diagonal/>
    </border>
  </borders>
  <cellStyleXfs count="2">
    <xf numFmtId="0" fontId="0" fillId="0" borderId="0"/>
    <xf numFmtId="9" fontId="20" fillId="0" borderId="0" applyFont="0" applyFill="0" applyBorder="0" applyAlignment="0" applyProtection="0"/>
  </cellStyleXfs>
  <cellXfs count="300">
    <xf numFmtId="0" fontId="0" fillId="0" borderId="0" xfId="0"/>
    <xf numFmtId="0" fontId="3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164" fontId="0" fillId="0" borderId="2" xfId="0" applyNumberFormat="1" applyBorder="1" applyAlignment="1">
      <alignment horizontal="right"/>
    </xf>
    <xf numFmtId="165" fontId="0" fillId="0" borderId="2" xfId="0" applyNumberFormat="1" applyBorder="1" applyAlignment="1">
      <alignment horizontal="right"/>
    </xf>
    <xf numFmtId="38" fontId="0" fillId="0" borderId="2" xfId="0" applyNumberFormat="1" applyBorder="1" applyAlignment="1">
      <alignment horizontal="right"/>
    </xf>
    <xf numFmtId="38" fontId="0" fillId="0" borderId="0" xfId="0" applyNumberFormat="1"/>
    <xf numFmtId="0" fontId="4" fillId="4" borderId="1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38" fontId="0" fillId="0" borderId="6" xfId="0" applyNumberFormat="1" applyBorder="1" applyAlignment="1">
      <alignment horizontal="right"/>
    </xf>
    <xf numFmtId="0" fontId="4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7" fillId="4" borderId="9" xfId="0" applyFont="1" applyFill="1" applyBorder="1"/>
    <xf numFmtId="0" fontId="3" fillId="4" borderId="9" xfId="0" applyFont="1" applyFill="1" applyBorder="1"/>
    <xf numFmtId="0" fontId="0" fillId="4" borderId="8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0" xfId="0" applyFill="1"/>
    <xf numFmtId="38" fontId="0" fillId="0" borderId="12" xfId="0" applyNumberFormat="1" applyBorder="1" applyAlignment="1">
      <alignment horizontal="center" wrapText="1"/>
    </xf>
    <xf numFmtId="38" fontId="0" fillId="0" borderId="13" xfId="0" applyNumberFormat="1" applyBorder="1" applyAlignment="1">
      <alignment horizontal="center" wrapText="1"/>
    </xf>
    <xf numFmtId="38" fontId="0" fillId="0" borderId="14" xfId="0" applyNumberFormat="1" applyBorder="1"/>
    <xf numFmtId="38" fontId="0" fillId="0" borderId="15" xfId="0" applyNumberFormat="1" applyBorder="1"/>
    <xf numFmtId="38" fontId="0" fillId="0" borderId="18" xfId="0" applyNumberFormat="1" applyBorder="1"/>
    <xf numFmtId="38" fontId="0" fillId="0" borderId="13" xfId="0" applyNumberFormat="1" applyBorder="1"/>
    <xf numFmtId="38" fontId="0" fillId="0" borderId="19" xfId="0" applyNumberFormat="1" applyBorder="1"/>
    <xf numFmtId="0" fontId="1" fillId="2" borderId="22" xfId="0" applyFont="1" applyFill="1" applyBorder="1" applyAlignment="1">
      <alignment horizontal="right"/>
    </xf>
    <xf numFmtId="38" fontId="3" fillId="0" borderId="10" xfId="0" applyNumberFormat="1" applyFont="1" applyBorder="1"/>
    <xf numFmtId="38" fontId="3" fillId="0" borderId="7" xfId="0" applyNumberFormat="1" applyFont="1" applyBorder="1"/>
    <xf numFmtId="38" fontId="5" fillId="0" borderId="7" xfId="0" applyNumberFormat="1" applyFont="1" applyBorder="1"/>
    <xf numFmtId="38" fontId="0" fillId="6" borderId="2" xfId="0" applyNumberFormat="1" applyFill="1" applyBorder="1" applyAlignment="1">
      <alignment horizontal="right"/>
    </xf>
    <xf numFmtId="38" fontId="0" fillId="6" borderId="0" xfId="0" applyNumberFormat="1" applyFill="1"/>
    <xf numFmtId="0" fontId="6" fillId="0" borderId="0" xfId="0" applyFont="1"/>
    <xf numFmtId="38" fontId="0" fillId="0" borderId="23" xfId="0" applyNumberFormat="1" applyBorder="1" applyAlignment="1">
      <alignment horizontal="right"/>
    </xf>
    <xf numFmtId="10" fontId="0" fillId="0" borderId="17" xfId="0" applyNumberFormat="1" applyBorder="1"/>
    <xf numFmtId="38" fontId="3" fillId="0" borderId="14" xfId="0" applyNumberFormat="1" applyFont="1" applyBorder="1"/>
    <xf numFmtId="38" fontId="3" fillId="0" borderId="15" xfId="0" applyNumberFormat="1" applyFont="1" applyBorder="1"/>
    <xf numFmtId="38" fontId="3" fillId="0" borderId="16" xfId="0" applyNumberFormat="1" applyFont="1" applyBorder="1"/>
    <xf numFmtId="10" fontId="3" fillId="0" borderId="17" xfId="0" applyNumberFormat="1" applyFont="1" applyBorder="1"/>
    <xf numFmtId="38" fontId="0" fillId="0" borderId="3" xfId="0" applyNumberFormat="1" applyBorder="1"/>
    <xf numFmtId="38" fontId="0" fillId="6" borderId="3" xfId="0" applyNumberFormat="1" applyFill="1" applyBorder="1"/>
    <xf numFmtId="38" fontId="0" fillId="0" borderId="3" xfId="0" applyNumberFormat="1" applyBorder="1" applyAlignment="1">
      <alignment horizontal="right"/>
    </xf>
    <xf numFmtId="38" fontId="0" fillId="6" borderId="3" xfId="0" applyNumberFormat="1" applyFill="1" applyBorder="1" applyAlignment="1">
      <alignment horizontal="right"/>
    </xf>
    <xf numFmtId="38" fontId="0" fillId="0" borderId="25" xfId="0" applyNumberFormat="1" applyBorder="1"/>
    <xf numFmtId="38" fontId="0" fillId="0" borderId="25" xfId="0" applyNumberFormat="1" applyBorder="1" applyAlignment="1">
      <alignment horizontal="right"/>
    </xf>
    <xf numFmtId="38" fontId="0" fillId="6" borderId="25" xfId="0" applyNumberFormat="1" applyFill="1" applyBorder="1" applyAlignment="1">
      <alignment horizontal="right"/>
    </xf>
    <xf numFmtId="38" fontId="0" fillId="0" borderId="28" xfId="0" applyNumberFormat="1" applyBorder="1" applyAlignment="1">
      <alignment horizontal="right"/>
    </xf>
    <xf numFmtId="38" fontId="0" fillId="6" borderId="28" xfId="0" applyNumberFormat="1" applyFill="1" applyBorder="1" applyAlignment="1">
      <alignment horizontal="right"/>
    </xf>
    <xf numFmtId="38" fontId="0" fillId="0" borderId="29" xfId="0" applyNumberFormat="1" applyBorder="1"/>
    <xf numFmtId="38" fontId="9" fillId="0" borderId="29" xfId="0" applyNumberFormat="1" applyFont="1" applyBorder="1"/>
    <xf numFmtId="38" fontId="0" fillId="6" borderId="29" xfId="0" applyNumberFormat="1" applyFill="1" applyBorder="1"/>
    <xf numFmtId="0" fontId="0" fillId="7" borderId="0" xfId="0" applyFill="1"/>
    <xf numFmtId="0" fontId="0" fillId="6" borderId="0" xfId="0" applyFill="1"/>
    <xf numFmtId="0" fontId="0" fillId="6" borderId="3" xfId="0" applyFill="1" applyBorder="1"/>
    <xf numFmtId="0" fontId="0" fillId="7" borderId="0" xfId="0" applyFill="1" applyAlignment="1">
      <alignment horizontal="center"/>
    </xf>
    <xf numFmtId="166" fontId="0" fillId="7" borderId="0" xfId="0" applyNumberFormat="1" applyFill="1"/>
    <xf numFmtId="166" fontId="0" fillId="7" borderId="7" xfId="0" applyNumberFormat="1" applyFill="1" applyBorder="1"/>
    <xf numFmtId="10" fontId="0" fillId="0" borderId="12" xfId="0" applyNumberFormat="1" applyBorder="1"/>
    <xf numFmtId="38" fontId="0" fillId="0" borderId="24" xfId="0" applyNumberFormat="1" applyBorder="1"/>
    <xf numFmtId="10" fontId="0" fillId="0" borderId="20" xfId="0" applyNumberFormat="1" applyBorder="1"/>
    <xf numFmtId="38" fontId="0" fillId="0" borderId="21" xfId="0" applyNumberFormat="1" applyBorder="1"/>
    <xf numFmtId="38" fontId="3" fillId="4" borderId="7" xfId="0" applyNumberFormat="1" applyFont="1" applyFill="1" applyBorder="1"/>
    <xf numFmtId="38" fontId="0" fillId="4" borderId="20" xfId="0" applyNumberFormat="1" applyFill="1" applyBorder="1" applyAlignment="1">
      <alignment horizontal="center" wrapText="1"/>
    </xf>
    <xf numFmtId="0" fontId="0" fillId="4" borderId="21" xfId="0" applyFill="1" applyBorder="1"/>
    <xf numFmtId="38" fontId="0" fillId="4" borderId="21" xfId="0" applyNumberFormat="1" applyFill="1" applyBorder="1"/>
    <xf numFmtId="38" fontId="0" fillId="4" borderId="24" xfId="0" applyNumberFormat="1" applyFill="1" applyBorder="1" applyAlignment="1">
      <alignment horizontal="center"/>
    </xf>
    <xf numFmtId="38" fontId="0" fillId="4" borderId="21" xfId="0" applyNumberFormat="1" applyFill="1" applyBorder="1" applyAlignment="1">
      <alignment horizontal="center"/>
    </xf>
    <xf numFmtId="38" fontId="0" fillId="4" borderId="12" xfId="0" applyNumberFormat="1" applyFill="1" applyBorder="1" applyAlignment="1">
      <alignment horizontal="center" wrapText="1"/>
    </xf>
    <xf numFmtId="38" fontId="0" fillId="4" borderId="14" xfId="0" applyNumberFormat="1" applyFill="1" applyBorder="1" applyAlignment="1">
      <alignment horizontal="center"/>
    </xf>
    <xf numFmtId="38" fontId="0" fillId="4" borderId="16" xfId="0" applyNumberFormat="1" applyFill="1" applyBorder="1" applyAlignment="1">
      <alignment horizontal="center"/>
    </xf>
    <xf numFmtId="38" fontId="5" fillId="4" borderId="7" xfId="0" applyNumberFormat="1" applyFont="1" applyFill="1" applyBorder="1"/>
    <xf numFmtId="38" fontId="0" fillId="4" borderId="24" xfId="0" applyNumberFormat="1" applyFill="1" applyBorder="1"/>
    <xf numFmtId="10" fontId="3" fillId="4" borderId="24" xfId="0" applyNumberFormat="1" applyFont="1" applyFill="1" applyBorder="1"/>
    <xf numFmtId="10" fontId="3" fillId="4" borderId="12" xfId="0" applyNumberFormat="1" applyFont="1" applyFill="1" applyBorder="1"/>
    <xf numFmtId="10" fontId="3" fillId="4" borderId="20" xfId="0" applyNumberFormat="1" applyFont="1" applyFill="1" applyBorder="1"/>
    <xf numFmtId="38" fontId="0" fillId="0" borderId="33" xfId="0" applyNumberFormat="1" applyBorder="1" applyAlignment="1">
      <alignment horizontal="right"/>
    </xf>
    <xf numFmtId="0" fontId="4" fillId="8" borderId="20" xfId="0" applyFont="1" applyFill="1" applyBorder="1" applyAlignment="1">
      <alignment horizontal="center" wrapText="1"/>
    </xf>
    <xf numFmtId="0" fontId="4" fillId="8" borderId="24" xfId="0" applyFont="1" applyFill="1" applyBorder="1" applyAlignment="1">
      <alignment horizontal="center" vertical="top" wrapText="1"/>
    </xf>
    <xf numFmtId="0" fontId="0" fillId="8" borderId="12" xfId="0" applyFill="1" applyBorder="1"/>
    <xf numFmtId="0" fontId="0" fillId="8" borderId="13" xfId="0" applyFill="1" applyBorder="1"/>
    <xf numFmtId="0" fontId="0" fillId="8" borderId="14" xfId="0" applyFill="1" applyBorder="1"/>
    <xf numFmtId="0" fontId="0" fillId="8" borderId="15" xfId="0" applyFill="1" applyBorder="1"/>
    <xf numFmtId="0" fontId="0" fillId="8" borderId="16" xfId="0" applyFill="1" applyBorder="1"/>
    <xf numFmtId="0" fontId="0" fillId="8" borderId="17" xfId="0" applyFill="1" applyBorder="1"/>
    <xf numFmtId="38" fontId="0" fillId="0" borderId="14" xfId="0" applyNumberFormat="1" applyBorder="1" applyAlignment="1">
      <alignment horizontal="center"/>
    </xf>
    <xf numFmtId="38" fontId="0" fillId="0" borderId="16" xfId="0" applyNumberFormat="1" applyBorder="1" applyAlignment="1">
      <alignment horizontal="center"/>
    </xf>
    <xf numFmtId="38" fontId="0" fillId="0" borderId="24" xfId="0" applyNumberFormat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top" wrapText="1"/>
    </xf>
    <xf numFmtId="0" fontId="5" fillId="4" borderId="11" xfId="0" applyFont="1" applyFill="1" applyBorder="1" applyAlignment="1">
      <alignment horizontal="center" wrapText="1"/>
    </xf>
    <xf numFmtId="0" fontId="5" fillId="4" borderId="34" xfId="0" applyFont="1" applyFill="1" applyBorder="1" applyAlignment="1">
      <alignment horizontal="center"/>
    </xf>
    <xf numFmtId="0" fontId="5" fillId="4" borderId="35" xfId="0" applyFont="1" applyFill="1" applyBorder="1" applyAlignment="1">
      <alignment horizontal="center"/>
    </xf>
    <xf numFmtId="0" fontId="5" fillId="4" borderId="36" xfId="0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 wrapText="1"/>
    </xf>
    <xf numFmtId="0" fontId="4" fillId="3" borderId="32" xfId="0" applyFont="1" applyFill="1" applyBorder="1" applyAlignment="1">
      <alignment horizontal="center"/>
    </xf>
    <xf numFmtId="0" fontId="5" fillId="4" borderId="32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center" wrapText="1"/>
    </xf>
    <xf numFmtId="0" fontId="4" fillId="3" borderId="38" xfId="0" applyFont="1" applyFill="1" applyBorder="1" applyAlignment="1">
      <alignment horizontal="center"/>
    </xf>
    <xf numFmtId="0" fontId="5" fillId="4" borderId="38" xfId="0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34" xfId="0" applyFont="1" applyFill="1" applyBorder="1" applyAlignment="1">
      <alignment horizontal="center"/>
    </xf>
    <xf numFmtId="0" fontId="1" fillId="2" borderId="40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3" fillId="4" borderId="10" xfId="0" applyFont="1" applyFill="1" applyBorder="1"/>
    <xf numFmtId="38" fontId="0" fillId="0" borderId="30" xfId="0" applyNumberFormat="1" applyBorder="1" applyAlignment="1">
      <alignment horizontal="right"/>
    </xf>
    <xf numFmtId="38" fontId="5" fillId="0" borderId="0" xfId="0" applyNumberFormat="1" applyFont="1" applyAlignment="1">
      <alignment horizontal="left"/>
    </xf>
    <xf numFmtId="38" fontId="4" fillId="0" borderId="0" xfId="0" applyNumberFormat="1" applyFont="1"/>
    <xf numFmtId="38" fontId="5" fillId="0" borderId="0" xfId="0" applyNumberFormat="1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4" fillId="0" borderId="0" xfId="0" applyFont="1"/>
    <xf numFmtId="38" fontId="0" fillId="0" borderId="21" xfId="0" applyNumberFormat="1" applyBorder="1" applyAlignment="1">
      <alignment horizontal="center"/>
    </xf>
    <xf numFmtId="38" fontId="0" fillId="0" borderId="32" xfId="0" applyNumberFormat="1" applyBorder="1" applyAlignment="1">
      <alignment horizontal="right"/>
    </xf>
    <xf numFmtId="0" fontId="4" fillId="5" borderId="37" xfId="0" applyFont="1" applyFill="1" applyBorder="1" applyAlignment="1">
      <alignment horizontal="center"/>
    </xf>
    <xf numFmtId="0" fontId="4" fillId="5" borderId="38" xfId="0" applyFont="1" applyFill="1" applyBorder="1" applyAlignment="1">
      <alignment horizontal="center"/>
    </xf>
    <xf numFmtId="0" fontId="4" fillId="5" borderId="41" xfId="0" applyFont="1" applyFill="1" applyBorder="1" applyAlignment="1">
      <alignment horizontal="center" vertical="top"/>
    </xf>
    <xf numFmtId="0" fontId="4" fillId="5" borderId="42" xfId="0" applyFont="1" applyFill="1" applyBorder="1" applyAlignment="1">
      <alignment horizontal="center" vertical="center" wrapText="1"/>
    </xf>
    <xf numFmtId="0" fontId="4" fillId="5" borderId="43" xfId="0" applyFont="1" applyFill="1" applyBorder="1" applyAlignment="1">
      <alignment horizontal="center" vertical="top"/>
    </xf>
    <xf numFmtId="0" fontId="4" fillId="5" borderId="44" xfId="0" applyFont="1" applyFill="1" applyBorder="1" applyAlignment="1">
      <alignment horizontal="center" vertical="center" wrapText="1"/>
    </xf>
    <xf numFmtId="0" fontId="4" fillId="5" borderId="45" xfId="0" applyFont="1" applyFill="1" applyBorder="1" applyAlignment="1">
      <alignment horizontal="center" vertical="top"/>
    </xf>
    <xf numFmtId="0" fontId="3" fillId="7" borderId="24" xfId="0" applyFont="1" applyFill="1" applyBorder="1" applyAlignment="1">
      <alignment horizontal="center"/>
    </xf>
    <xf numFmtId="0" fontId="3" fillId="7" borderId="21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0" fillId="8" borderId="18" xfId="0" applyFill="1" applyBorder="1"/>
    <xf numFmtId="0" fontId="0" fillId="8" borderId="19" xfId="0" applyFill="1" applyBorder="1"/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38" fontId="0" fillId="0" borderId="0" xfId="0" applyNumberFormat="1" applyAlignment="1">
      <alignment vertical="top"/>
    </xf>
    <xf numFmtId="38" fontId="0" fillId="0" borderId="46" xfId="0" applyNumberFormat="1" applyBorder="1"/>
    <xf numFmtId="0" fontId="0" fillId="6" borderId="46" xfId="0" applyFill="1" applyBorder="1"/>
    <xf numFmtId="38" fontId="0" fillId="0" borderId="47" xfId="0" applyNumberFormat="1" applyBorder="1"/>
    <xf numFmtId="38" fontId="3" fillId="0" borderId="0" xfId="0" applyNumberFormat="1" applyFont="1"/>
    <xf numFmtId="0" fontId="4" fillId="5" borderId="48" xfId="0" applyFont="1" applyFill="1" applyBorder="1" applyAlignment="1">
      <alignment horizontal="center" vertical="top"/>
    </xf>
    <xf numFmtId="0" fontId="4" fillId="5" borderId="49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 wrapText="1"/>
    </xf>
    <xf numFmtId="0" fontId="14" fillId="5" borderId="31" xfId="0" applyFont="1" applyFill="1" applyBorder="1" applyAlignment="1">
      <alignment horizontal="center" vertical="center" wrapText="1"/>
    </xf>
    <xf numFmtId="0" fontId="4" fillId="5" borderId="54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wrapText="1"/>
    </xf>
    <xf numFmtId="0" fontId="4" fillId="8" borderId="24" xfId="0" applyFont="1" applyFill="1" applyBorder="1" applyAlignment="1">
      <alignment horizontal="center" wrapText="1"/>
    </xf>
    <xf numFmtId="0" fontId="0" fillId="8" borderId="0" xfId="0" applyFill="1"/>
    <xf numFmtId="0" fontId="14" fillId="8" borderId="24" xfId="0" applyFont="1" applyFill="1" applyBorder="1" applyAlignment="1">
      <alignment horizontal="center" vertical="center" wrapText="1"/>
    </xf>
    <xf numFmtId="0" fontId="15" fillId="8" borderId="12" xfId="0" applyFont="1" applyFill="1" applyBorder="1"/>
    <xf numFmtId="0" fontId="4" fillId="5" borderId="12" xfId="0" applyFont="1" applyFill="1" applyBorder="1" applyAlignment="1">
      <alignment horizontal="center" vertical="top"/>
    </xf>
    <xf numFmtId="0" fontId="14" fillId="5" borderId="14" xfId="0" applyFont="1" applyFill="1" applyBorder="1" applyAlignment="1">
      <alignment horizontal="center" vertical="center" wrapText="1"/>
    </xf>
    <xf numFmtId="38" fontId="3" fillId="0" borderId="25" xfId="0" applyNumberFormat="1" applyFont="1" applyBorder="1"/>
    <xf numFmtId="10" fontId="3" fillId="6" borderId="25" xfId="0" applyNumberFormat="1" applyFont="1" applyFill="1" applyBorder="1"/>
    <xf numFmtId="38" fontId="0" fillId="0" borderId="51" xfId="0" applyNumberFormat="1" applyBorder="1"/>
    <xf numFmtId="0" fontId="15" fillId="8" borderId="14" xfId="0" applyFont="1" applyFill="1" applyBorder="1" applyAlignment="1">
      <alignment horizontal="center"/>
    </xf>
    <xf numFmtId="0" fontId="0" fillId="6" borderId="15" xfId="0" applyFill="1" applyBorder="1"/>
    <xf numFmtId="0" fontId="15" fillId="8" borderId="18" xfId="0" applyFont="1" applyFill="1" applyBorder="1" applyAlignment="1">
      <alignment horizontal="center"/>
    </xf>
    <xf numFmtId="38" fontId="0" fillId="6" borderId="25" xfId="0" applyNumberFormat="1" applyFill="1" applyBorder="1"/>
    <xf numFmtId="0" fontId="5" fillId="8" borderId="20" xfId="0" applyFont="1" applyFill="1" applyBorder="1" applyAlignment="1">
      <alignment horizontal="center"/>
    </xf>
    <xf numFmtId="0" fontId="5" fillId="8" borderId="24" xfId="0" applyFont="1" applyFill="1" applyBorder="1" applyAlignment="1">
      <alignment horizontal="center"/>
    </xf>
    <xf numFmtId="0" fontId="3" fillId="4" borderId="12" xfId="0" applyFont="1" applyFill="1" applyBorder="1"/>
    <xf numFmtId="0" fontId="3" fillId="4" borderId="13" xfId="0" applyFont="1" applyFill="1" applyBorder="1"/>
    <xf numFmtId="0" fontId="3" fillId="4" borderId="14" xfId="0" applyFont="1" applyFill="1" applyBorder="1"/>
    <xf numFmtId="0" fontId="3" fillId="4" borderId="15" xfId="0" applyFont="1" applyFill="1" applyBorder="1"/>
    <xf numFmtId="0" fontId="17" fillId="4" borderId="14" xfId="0" applyFont="1" applyFill="1" applyBorder="1"/>
    <xf numFmtId="0" fontId="17" fillId="4" borderId="15" xfId="0" applyFont="1" applyFill="1" applyBorder="1"/>
    <xf numFmtId="0" fontId="3" fillId="4" borderId="16" xfId="0" applyFont="1" applyFill="1" applyBorder="1"/>
    <xf numFmtId="0" fontId="3" fillId="4" borderId="17" xfId="0" applyFont="1" applyFill="1" applyBorder="1"/>
    <xf numFmtId="0" fontId="0" fillId="9" borderId="0" xfId="0" applyFill="1"/>
    <xf numFmtId="0" fontId="3" fillId="9" borderId="8" xfId="0" applyFont="1" applyFill="1" applyBorder="1"/>
    <xf numFmtId="0" fontId="3" fillId="9" borderId="9" xfId="0" applyFont="1" applyFill="1" applyBorder="1"/>
    <xf numFmtId="0" fontId="3" fillId="9" borderId="10" xfId="0" applyFont="1" applyFill="1" applyBorder="1" applyAlignment="1">
      <alignment horizontal="center"/>
    </xf>
    <xf numFmtId="0" fontId="3" fillId="9" borderId="0" xfId="0" applyFont="1" applyFill="1"/>
    <xf numFmtId="0" fontId="3" fillId="9" borderId="20" xfId="0" applyFont="1" applyFill="1" applyBorder="1" applyAlignment="1">
      <alignment horizontal="center"/>
    </xf>
    <xf numFmtId="0" fontId="3" fillId="9" borderId="12" xfId="0" applyFont="1" applyFill="1" applyBorder="1"/>
    <xf numFmtId="0" fontId="3" fillId="9" borderId="13" xfId="0" applyFont="1" applyFill="1" applyBorder="1"/>
    <xf numFmtId="0" fontId="3" fillId="9" borderId="18" xfId="0" applyFont="1" applyFill="1" applyBorder="1"/>
    <xf numFmtId="0" fontId="5" fillId="9" borderId="50" xfId="0" applyFont="1" applyFill="1" applyBorder="1" applyAlignment="1">
      <alignment horizontal="center"/>
    </xf>
    <xf numFmtId="0" fontId="3" fillId="9" borderId="24" xfId="0" applyFont="1" applyFill="1" applyBorder="1" applyAlignment="1">
      <alignment horizontal="center"/>
    </xf>
    <xf numFmtId="0" fontId="3" fillId="9" borderId="37" xfId="0" applyFont="1" applyFill="1" applyBorder="1" applyAlignment="1">
      <alignment horizontal="center"/>
    </xf>
    <xf numFmtId="0" fontId="3" fillId="9" borderId="39" xfId="0" applyFont="1" applyFill="1" applyBorder="1" applyAlignment="1">
      <alignment horizontal="center"/>
    </xf>
    <xf numFmtId="0" fontId="3" fillId="9" borderId="19" xfId="0" applyFont="1" applyFill="1" applyBorder="1" applyAlignment="1">
      <alignment horizontal="center"/>
    </xf>
    <xf numFmtId="0" fontId="3" fillId="9" borderId="21" xfId="0" applyFont="1" applyFill="1" applyBorder="1" applyAlignment="1">
      <alignment horizontal="center"/>
    </xf>
    <xf numFmtId="0" fontId="3" fillId="9" borderId="19" xfId="0" applyFont="1" applyFill="1" applyBorder="1"/>
    <xf numFmtId="0" fontId="3" fillId="9" borderId="52" xfId="0" applyFont="1" applyFill="1" applyBorder="1" applyAlignment="1">
      <alignment horizontal="center"/>
    </xf>
    <xf numFmtId="38" fontId="0" fillId="9" borderId="32" xfId="0" applyNumberFormat="1" applyFill="1" applyBorder="1"/>
    <xf numFmtId="38" fontId="0" fillId="9" borderId="0" xfId="0" applyNumberFormat="1" applyFill="1"/>
    <xf numFmtId="38" fontId="0" fillId="9" borderId="3" xfId="0" applyNumberFormat="1" applyFill="1" applyBorder="1"/>
    <xf numFmtId="0" fontId="4" fillId="9" borderId="0" xfId="0" applyFont="1" applyFill="1"/>
    <xf numFmtId="0" fontId="4" fillId="9" borderId="4" xfId="0" applyFont="1" applyFill="1" applyBorder="1" applyAlignment="1">
      <alignment horizontal="left"/>
    </xf>
    <xf numFmtId="0" fontId="5" fillId="9" borderId="20" xfId="0" applyFont="1" applyFill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38" fontId="3" fillId="5" borderId="7" xfId="0" applyNumberFormat="1" applyFont="1" applyFill="1" applyBorder="1"/>
    <xf numFmtId="38" fontId="0" fillId="5" borderId="7" xfId="0" applyNumberFormat="1" applyFill="1" applyBorder="1"/>
    <xf numFmtId="38" fontId="0" fillId="4" borderId="20" xfId="0" applyNumberFormat="1" applyFill="1" applyBorder="1" applyAlignment="1">
      <alignment horizontal="center" vertical="top" wrapText="1"/>
    </xf>
    <xf numFmtId="38" fontId="0" fillId="0" borderId="20" xfId="0" applyNumberFormat="1" applyBorder="1" applyAlignment="1">
      <alignment vertical="top" wrapText="1"/>
    </xf>
    <xf numFmtId="38" fontId="0" fillId="0" borderId="20" xfId="0" applyNumberFormat="1" applyBorder="1" applyAlignment="1">
      <alignment horizontal="center" vertical="top" wrapText="1"/>
    </xf>
    <xf numFmtId="0" fontId="3" fillId="9" borderId="10" xfId="0" applyFont="1" applyFill="1" applyBorder="1"/>
    <xf numFmtId="0" fontId="3" fillId="9" borderId="0" xfId="0" applyFont="1" applyFill="1" applyAlignment="1">
      <alignment horizontal="center"/>
    </xf>
    <xf numFmtId="0" fontId="5" fillId="9" borderId="0" xfId="0" applyFont="1" applyFill="1" applyAlignment="1">
      <alignment horizontal="center"/>
    </xf>
    <xf numFmtId="0" fontId="3" fillId="9" borderId="53" xfId="0" applyFont="1" applyFill="1" applyBorder="1" applyAlignment="1">
      <alignment horizontal="center"/>
    </xf>
    <xf numFmtId="0" fontId="3" fillId="9" borderId="0" xfId="0" applyFont="1" applyFill="1" applyAlignment="1">
      <alignment horizontal="left"/>
    </xf>
    <xf numFmtId="38" fontId="9" fillId="9" borderId="3" xfId="0" applyNumberFormat="1" applyFont="1" applyFill="1" applyBorder="1"/>
    <xf numFmtId="38" fontId="0" fillId="9" borderId="32" xfId="0" applyNumberFormat="1" applyFill="1" applyBorder="1" applyAlignment="1">
      <alignment horizontal="center"/>
    </xf>
    <xf numFmtId="0" fontId="0" fillId="9" borderId="0" xfId="0" applyFill="1" applyAlignment="1">
      <alignment horizontal="center"/>
    </xf>
    <xf numFmtId="38" fontId="0" fillId="9" borderId="0" xfId="0" applyNumberFormat="1" applyFill="1" applyAlignment="1">
      <alignment horizontal="center"/>
    </xf>
    <xf numFmtId="38" fontId="18" fillId="9" borderId="32" xfId="0" applyNumberFormat="1" applyFont="1" applyFill="1" applyBorder="1" applyAlignment="1">
      <alignment horizontal="center"/>
    </xf>
    <xf numFmtId="38" fontId="0" fillId="9" borderId="3" xfId="0" applyNumberFormat="1" applyFill="1" applyBorder="1" applyAlignment="1">
      <alignment horizontal="center"/>
    </xf>
    <xf numFmtId="38" fontId="11" fillId="0" borderId="0" xfId="0" applyNumberFormat="1" applyFont="1" applyAlignment="1">
      <alignment horizontal="left"/>
    </xf>
    <xf numFmtId="0" fontId="11" fillId="0" borderId="0" xfId="0" applyFont="1"/>
    <xf numFmtId="38" fontId="0" fillId="0" borderId="0" xfId="0" applyNumberFormat="1" applyAlignment="1">
      <alignment horizontal="center"/>
    </xf>
    <xf numFmtId="38" fontId="0" fillId="0" borderId="0" xfId="0" applyNumberFormat="1" applyAlignment="1">
      <alignment horizontal="right"/>
    </xf>
    <xf numFmtId="10" fontId="0" fillId="0" borderId="0" xfId="0" applyNumberFormat="1" applyAlignment="1">
      <alignment horizontal="center"/>
    </xf>
    <xf numFmtId="10" fontId="4" fillId="0" borderId="0" xfId="0" applyNumberFormat="1" applyFont="1" applyAlignment="1">
      <alignment horizontal="center"/>
    </xf>
    <xf numFmtId="10" fontId="3" fillId="0" borderId="0" xfId="0" applyNumberFormat="1" applyFont="1" applyAlignment="1">
      <alignment horizontal="center"/>
    </xf>
    <xf numFmtId="0" fontId="7" fillId="0" borderId="0" xfId="0" applyFont="1" applyAlignment="1">
      <alignment vertical="top"/>
    </xf>
    <xf numFmtId="0" fontId="8" fillId="0" borderId="0" xfId="0" applyFont="1"/>
    <xf numFmtId="0" fontId="0" fillId="10" borderId="0" xfId="0" applyFill="1"/>
    <xf numFmtId="0" fontId="0" fillId="10" borderId="0" xfId="0" applyFill="1" applyAlignment="1">
      <alignment vertical="top"/>
    </xf>
    <xf numFmtId="0" fontId="3" fillId="10" borderId="0" xfId="0" applyFont="1" applyFill="1"/>
    <xf numFmtId="0" fontId="5" fillId="9" borderId="8" xfId="0" applyFont="1" applyFill="1" applyBorder="1"/>
    <xf numFmtId="0" fontId="5" fillId="9" borderId="9" xfId="0" applyFont="1" applyFill="1" applyBorder="1"/>
    <xf numFmtId="0" fontId="5" fillId="9" borderId="10" xfId="0" applyFont="1" applyFill="1" applyBorder="1" applyAlignment="1">
      <alignment horizontal="center"/>
    </xf>
    <xf numFmtId="0" fontId="5" fillId="9" borderId="0" xfId="0" applyFont="1" applyFill="1"/>
    <xf numFmtId="0" fontId="5" fillId="9" borderId="10" xfId="0" applyFont="1" applyFill="1" applyBorder="1"/>
    <xf numFmtId="0" fontId="5" fillId="9" borderId="24" xfId="0" applyFont="1" applyFill="1" applyBorder="1" applyAlignment="1">
      <alignment horizontal="center"/>
    </xf>
    <xf numFmtId="0" fontId="5" fillId="9" borderId="53" xfId="0" applyFont="1" applyFill="1" applyBorder="1" applyAlignment="1">
      <alignment horizontal="center"/>
    </xf>
    <xf numFmtId="0" fontId="5" fillId="9" borderId="52" xfId="0" applyFont="1" applyFill="1" applyBorder="1" applyAlignment="1">
      <alignment horizontal="center"/>
    </xf>
    <xf numFmtId="0" fontId="5" fillId="9" borderId="0" xfId="0" applyFont="1" applyFill="1" applyAlignment="1">
      <alignment horizontal="left"/>
    </xf>
    <xf numFmtId="0" fontId="5" fillId="9" borderId="21" xfId="0" applyFont="1" applyFill="1" applyBorder="1" applyAlignment="1">
      <alignment horizontal="center"/>
    </xf>
    <xf numFmtId="38" fontId="4" fillId="9" borderId="32" xfId="0" applyNumberFormat="1" applyFont="1" applyFill="1" applyBorder="1"/>
    <xf numFmtId="38" fontId="4" fillId="9" borderId="0" xfId="0" applyNumberFormat="1" applyFont="1" applyFill="1"/>
    <xf numFmtId="38" fontId="19" fillId="9" borderId="32" xfId="0" applyNumberFormat="1" applyFont="1" applyFill="1" applyBorder="1" applyAlignment="1">
      <alignment horizontal="center"/>
    </xf>
    <xf numFmtId="38" fontId="4" fillId="9" borderId="32" xfId="0" applyNumberFormat="1" applyFont="1" applyFill="1" applyBorder="1" applyAlignment="1">
      <alignment horizontal="center"/>
    </xf>
    <xf numFmtId="38" fontId="0" fillId="4" borderId="20" xfId="0" applyNumberFormat="1" applyFill="1" applyBorder="1"/>
    <xf numFmtId="10" fontId="3" fillId="4" borderId="21" xfId="0" applyNumberFormat="1" applyFont="1" applyFill="1" applyBorder="1"/>
    <xf numFmtId="0" fontId="4" fillId="4" borderId="12" xfId="0" applyFont="1" applyFill="1" applyBorder="1"/>
    <xf numFmtId="0" fontId="4" fillId="4" borderId="18" xfId="0" applyFont="1" applyFill="1" applyBorder="1"/>
    <xf numFmtId="0" fontId="0" fillId="4" borderId="13" xfId="0" applyFill="1" applyBorder="1"/>
    <xf numFmtId="0" fontId="4" fillId="4" borderId="14" xfId="0" applyFont="1" applyFill="1" applyBorder="1"/>
    <xf numFmtId="0" fontId="4" fillId="4" borderId="0" xfId="0" applyFont="1" applyFill="1"/>
    <xf numFmtId="0" fontId="0" fillId="4" borderId="15" xfId="0" applyFill="1" applyBorder="1"/>
    <xf numFmtId="10" fontId="4" fillId="4" borderId="0" xfId="0" applyNumberFormat="1" applyFont="1" applyFill="1"/>
    <xf numFmtId="0" fontId="0" fillId="4" borderId="16" xfId="0" applyFill="1" applyBorder="1"/>
    <xf numFmtId="38" fontId="0" fillId="4" borderId="19" xfId="0" applyNumberFormat="1" applyFill="1" applyBorder="1"/>
    <xf numFmtId="0" fontId="0" fillId="4" borderId="19" xfId="0" applyFill="1" applyBorder="1"/>
    <xf numFmtId="0" fontId="0" fillId="4" borderId="17" xfId="0" applyFill="1" applyBorder="1"/>
    <xf numFmtId="0" fontId="3" fillId="7" borderId="20" xfId="0" applyFont="1" applyFill="1" applyBorder="1" applyAlignment="1">
      <alignment wrapText="1"/>
    </xf>
    <xf numFmtId="0" fontId="3" fillId="7" borderId="21" xfId="0" applyFont="1" applyFill="1" applyBorder="1" applyAlignment="1">
      <alignment wrapText="1"/>
    </xf>
    <xf numFmtId="0" fontId="3" fillId="7" borderId="0" xfId="0" applyFont="1" applyFill="1" applyAlignment="1">
      <alignment vertical="top"/>
    </xf>
    <xf numFmtId="0" fontId="3" fillId="9" borderId="16" xfId="0" applyFont="1" applyFill="1" applyBorder="1" applyAlignment="1">
      <alignment horizontal="center"/>
    </xf>
    <xf numFmtId="38" fontId="18" fillId="9" borderId="55" xfId="0" applyNumberFormat="1" applyFont="1" applyFill="1" applyBorder="1" applyAlignment="1">
      <alignment horizontal="center"/>
    </xf>
    <xf numFmtId="38" fontId="0" fillId="9" borderId="55" xfId="0" applyNumberFormat="1" applyFill="1" applyBorder="1" applyAlignment="1">
      <alignment horizontal="center"/>
    </xf>
    <xf numFmtId="38" fontId="0" fillId="9" borderId="25" xfId="0" applyNumberFormat="1" applyFill="1" applyBorder="1" applyAlignment="1">
      <alignment horizontal="center"/>
    </xf>
    <xf numFmtId="0" fontId="4" fillId="9" borderId="56" xfId="0" applyFont="1" applyFill="1" applyBorder="1" applyAlignment="1">
      <alignment horizontal="left"/>
    </xf>
    <xf numFmtId="38" fontId="4" fillId="9" borderId="3" xfId="0" applyNumberFormat="1" applyFont="1" applyFill="1" applyBorder="1" applyAlignment="1">
      <alignment horizontal="center"/>
    </xf>
    <xf numFmtId="0" fontId="0" fillId="7" borderId="14" xfId="0" applyFill="1" applyBorder="1"/>
    <xf numFmtId="0" fontId="0" fillId="7" borderId="15" xfId="0" applyFill="1" applyBorder="1"/>
    <xf numFmtId="0" fontId="3" fillId="7" borderId="14" xfId="0" applyFont="1" applyFill="1" applyBorder="1"/>
    <xf numFmtId="0" fontId="3" fillId="7" borderId="16" xfId="0" applyFont="1" applyFill="1" applyBorder="1"/>
    <xf numFmtId="0" fontId="0" fillId="7" borderId="19" xfId="0" applyFill="1" applyBorder="1"/>
    <xf numFmtId="0" fontId="0" fillId="7" borderId="17" xfId="0" applyFill="1" applyBorder="1"/>
    <xf numFmtId="38" fontId="9" fillId="9" borderId="32" xfId="0" applyNumberFormat="1" applyFont="1" applyFill="1" applyBorder="1" applyAlignment="1">
      <alignment horizontal="center"/>
    </xf>
    <xf numFmtId="38" fontId="9" fillId="9" borderId="3" xfId="0" applyNumberFormat="1" applyFont="1" applyFill="1" applyBorder="1" applyAlignment="1">
      <alignment horizontal="center"/>
    </xf>
    <xf numFmtId="0" fontId="3" fillId="7" borderId="21" xfId="0" applyFont="1" applyFill="1" applyBorder="1" applyAlignment="1">
      <alignment vertical="top" wrapText="1"/>
    </xf>
    <xf numFmtId="0" fontId="3" fillId="7" borderId="12" xfId="0" applyFont="1" applyFill="1" applyBorder="1"/>
    <xf numFmtId="0" fontId="0" fillId="7" borderId="18" xfId="0" applyFill="1" applyBorder="1"/>
    <xf numFmtId="0" fontId="0" fillId="7" borderId="13" xfId="0" applyFill="1" applyBorder="1"/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38" fontId="4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38" fontId="9" fillId="0" borderId="0" xfId="0" applyNumberFormat="1" applyFont="1"/>
    <xf numFmtId="0" fontId="3" fillId="11" borderId="20" xfId="0" applyFont="1" applyFill="1" applyBorder="1" applyAlignment="1">
      <alignment horizontal="center"/>
    </xf>
    <xf numFmtId="0" fontId="3" fillId="11" borderId="24" xfId="0" applyFont="1" applyFill="1" applyBorder="1" applyAlignment="1">
      <alignment horizontal="center"/>
    </xf>
    <xf numFmtId="0" fontId="3" fillId="11" borderId="21" xfId="0" applyFont="1" applyFill="1" applyBorder="1" applyAlignment="1">
      <alignment horizontal="center" vertical="top"/>
    </xf>
    <xf numFmtId="0" fontId="3" fillId="0" borderId="0" xfId="0" applyFont="1" applyAlignment="1">
      <alignment horizontal="left"/>
    </xf>
    <xf numFmtId="38" fontId="3" fillId="0" borderId="0" xfId="0" applyNumberFormat="1" applyFont="1" applyAlignment="1">
      <alignment horizontal="right"/>
    </xf>
    <xf numFmtId="0" fontId="12" fillId="0" borderId="0" xfId="0" applyFont="1" applyAlignment="1">
      <alignment horizontal="left" vertical="center" readingOrder="1"/>
    </xf>
    <xf numFmtId="0" fontId="3" fillId="9" borderId="12" xfId="0" applyFont="1" applyFill="1" applyBorder="1" applyAlignment="1">
      <alignment horizontal="center"/>
    </xf>
    <xf numFmtId="0" fontId="3" fillId="9" borderId="14" xfId="0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left"/>
    </xf>
    <xf numFmtId="38" fontId="18" fillId="0" borderId="0" xfId="0" applyNumberFormat="1" applyFont="1" applyAlignment="1">
      <alignment horizontal="center"/>
    </xf>
    <xf numFmtId="38" fontId="9" fillId="0" borderId="0" xfId="0" applyNumberFormat="1" applyFont="1" applyAlignment="1">
      <alignment horizontal="center"/>
    </xf>
    <xf numFmtId="0" fontId="3" fillId="12" borderId="24" xfId="0" applyFont="1" applyFill="1" applyBorder="1" applyAlignment="1">
      <alignment horizontal="center"/>
    </xf>
    <xf numFmtId="0" fontId="3" fillId="12" borderId="21" xfId="0" applyFont="1" applyFill="1" applyBorder="1" applyAlignment="1">
      <alignment horizontal="center" vertical="top"/>
    </xf>
    <xf numFmtId="0" fontId="3" fillId="12" borderId="20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22" fillId="0" borderId="0" xfId="0" applyFont="1"/>
    <xf numFmtId="10" fontId="5" fillId="0" borderId="0" xfId="1" applyNumberFormat="1" applyFont="1" applyFill="1" applyBorder="1" applyAlignment="1">
      <alignment horizontal="center"/>
    </xf>
    <xf numFmtId="38" fontId="3" fillId="0" borderId="0" xfId="0" applyNumberFormat="1" applyFont="1" applyAlignment="1">
      <alignment horizontal="center"/>
    </xf>
    <xf numFmtId="49" fontId="23" fillId="0" borderId="0" xfId="0" applyNumberFormat="1" applyFont="1" applyAlignment="1">
      <alignment horizontal="right" vertical="center"/>
    </xf>
    <xf numFmtId="49" fontId="0" fillId="0" borderId="0" xfId="0" applyNumberFormat="1"/>
    <xf numFmtId="49" fontId="0" fillId="0" borderId="0" xfId="0" applyNumberFormat="1" applyAlignment="1">
      <alignment horizontal="right" inden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921BD-4D06-4BCE-B37D-411A7EF74312}">
  <sheetPr>
    <tabColor rgb="FF92D050"/>
  </sheetPr>
  <dimension ref="A1:CV86"/>
  <sheetViews>
    <sheetView tabSelected="1" topLeftCell="BN1" zoomScale="80" zoomScaleNormal="80" workbookViewId="0">
      <selection activeCell="CB9" sqref="CB9"/>
    </sheetView>
  </sheetViews>
  <sheetFormatPr defaultRowHeight="14.4" x14ac:dyDescent="0.3"/>
  <cols>
    <col min="1" max="1" width="5.5546875" customWidth="1"/>
    <col min="2" max="2" width="42.33203125" customWidth="1"/>
    <col min="3" max="3" width="17.44140625" customWidth="1"/>
    <col min="4" max="4" width="17.109375" customWidth="1"/>
    <col min="5" max="6" width="13.6640625" customWidth="1"/>
    <col min="7" max="7" width="15.44140625" customWidth="1"/>
    <col min="8" max="8" width="15.33203125" customWidth="1"/>
    <col min="9" max="9" width="14.44140625" customWidth="1"/>
    <col min="10" max="10" width="14.6640625" customWidth="1"/>
    <col min="11" max="11" width="16.5546875" customWidth="1"/>
    <col min="12" max="12" width="13.33203125" customWidth="1"/>
    <col min="13" max="13" width="15.88671875" customWidth="1"/>
    <col min="14" max="14" width="16.109375" customWidth="1"/>
    <col min="15" max="15" width="17.33203125" customWidth="1"/>
    <col min="16" max="16" width="15" customWidth="1"/>
    <col min="17" max="17" width="13.5546875" customWidth="1"/>
    <col min="18" max="18" width="17.5546875" customWidth="1"/>
    <col min="19" max="19" width="14.6640625" customWidth="1"/>
    <col min="20" max="20" width="10.5546875" customWidth="1"/>
    <col min="21" max="21" width="14.5546875" customWidth="1"/>
    <col min="22" max="22" width="16.21875" customWidth="1"/>
    <col min="23" max="23" width="14.5546875" customWidth="1"/>
    <col min="24" max="24" width="17.21875" customWidth="1"/>
    <col min="25" max="25" width="16.33203125" customWidth="1"/>
    <col min="26" max="26" width="15" customWidth="1"/>
    <col min="27" max="27" width="17.33203125" customWidth="1"/>
    <col min="28" max="28" width="16.33203125" customWidth="1"/>
    <col min="29" max="29" width="15.5546875" customWidth="1"/>
    <col min="30" max="30" width="15.21875" customWidth="1"/>
    <col min="31" max="31" width="1.6640625" customWidth="1"/>
    <col min="32" max="32" width="23.21875" customWidth="1"/>
    <col min="33" max="33" width="1.5546875" customWidth="1"/>
    <col min="34" max="37" width="1.33203125" customWidth="1"/>
    <col min="38" max="38" width="14.6640625" hidden="1" customWidth="1"/>
    <col min="39" max="40" width="9.109375" hidden="1" customWidth="1"/>
    <col min="41" max="41" width="5" hidden="1" customWidth="1"/>
    <col min="42" max="42" width="16.109375" hidden="1" customWidth="1"/>
    <col min="43" max="43" width="9.109375" hidden="1" customWidth="1"/>
    <col min="44" max="44" width="18.88671875" hidden="1" customWidth="1"/>
    <col min="45" max="45" width="0.88671875" customWidth="1"/>
    <col min="46" max="46" width="3" hidden="1" customWidth="1"/>
    <col min="47" max="47" width="23.109375" hidden="1" customWidth="1"/>
    <col min="48" max="48" width="13.5546875" hidden="1" customWidth="1"/>
    <col min="49" max="49" width="9.109375" hidden="1" customWidth="1"/>
    <col min="50" max="50" width="38.6640625" hidden="1" customWidth="1"/>
    <col min="51" max="51" width="9.109375" hidden="1" customWidth="1"/>
    <col min="52" max="52" width="1.5546875" customWidth="1"/>
    <col min="53" max="53" width="28" customWidth="1"/>
    <col min="54" max="54" width="13.33203125" customWidth="1"/>
    <col min="55" max="55" width="11.5546875" customWidth="1"/>
    <col min="56" max="56" width="0.44140625" customWidth="1"/>
    <col min="57" max="57" width="0.5546875" hidden="1" customWidth="1"/>
    <col min="58" max="58" width="11.109375" customWidth="1"/>
    <col min="59" max="59" width="0.44140625" customWidth="1"/>
    <col min="60" max="60" width="14.33203125" customWidth="1"/>
    <col min="61" max="61" width="1.109375" customWidth="1"/>
    <col min="62" max="62" width="16.6640625" customWidth="1"/>
    <col min="63" max="63" width="14" customWidth="1"/>
    <col min="64" max="64" width="3.44140625" customWidth="1"/>
    <col min="66" max="66" width="16.5546875" customWidth="1"/>
    <col min="67" max="67" width="2" customWidth="1"/>
    <col min="68" max="68" width="22.33203125" customWidth="1"/>
    <col min="69" max="69" width="13.33203125" customWidth="1"/>
    <col min="70" max="70" width="11.44140625" customWidth="1"/>
    <col min="71" max="71" width="0.5546875" customWidth="1"/>
    <col min="72" max="72" width="0.88671875" hidden="1" customWidth="1"/>
    <col min="73" max="73" width="11.5546875" customWidth="1"/>
    <col min="74" max="74" width="0.5546875" customWidth="1"/>
    <col min="75" max="75" width="12.6640625" customWidth="1"/>
    <col min="76" max="76" width="0.5546875" customWidth="1"/>
    <col min="77" max="77" width="16.88671875" customWidth="1"/>
    <col min="78" max="78" width="11.6640625" customWidth="1"/>
    <col min="79" max="79" width="29.44140625" customWidth="1"/>
    <col min="80" max="80" width="15.109375" customWidth="1"/>
    <col min="81" max="81" width="13.109375" customWidth="1"/>
    <col min="82" max="82" width="0.88671875" customWidth="1"/>
    <col min="83" max="83" width="0.109375" customWidth="1"/>
    <col min="84" max="84" width="10.6640625" customWidth="1"/>
    <col min="85" max="85" width="0.5546875" customWidth="1"/>
    <col min="86" max="86" width="11" customWidth="1"/>
    <col min="87" max="87" width="1" customWidth="1"/>
    <col min="88" max="88" width="16.5546875" customWidth="1"/>
    <col min="89" max="89" width="13.88671875" customWidth="1"/>
    <col min="90" max="90" width="1.33203125" customWidth="1"/>
    <col min="91" max="91" width="23.109375" customWidth="1"/>
    <col min="92" max="92" width="11.44140625" customWidth="1"/>
    <col min="93" max="93" width="0.6640625" customWidth="1"/>
    <col min="94" max="94" width="0.33203125" customWidth="1"/>
    <col min="95" max="95" width="11" customWidth="1"/>
    <col min="96" max="96" width="1.6640625" customWidth="1"/>
    <col min="97" max="97" width="11.5546875" customWidth="1"/>
    <col min="98" max="98" width="0.88671875" customWidth="1"/>
    <col min="99" max="99" width="16.33203125" customWidth="1"/>
    <col min="100" max="100" width="12.6640625" customWidth="1"/>
  </cols>
  <sheetData>
    <row r="1" spans="1:100" ht="15" thickBot="1" x14ac:dyDescent="0.35">
      <c r="A1" s="158" t="s">
        <v>0</v>
      </c>
      <c r="B1" s="159"/>
      <c r="AI1" s="130"/>
      <c r="AJ1" s="8"/>
      <c r="AK1" s="216"/>
      <c r="BA1" s="264" t="s">
        <v>191</v>
      </c>
      <c r="BB1" s="265"/>
      <c r="BC1" s="265"/>
      <c r="BD1" s="265"/>
      <c r="BE1" s="265"/>
      <c r="BF1" s="265"/>
      <c r="BG1" s="265"/>
      <c r="BH1" s="1"/>
      <c r="CA1" s="297" t="s">
        <v>205</v>
      </c>
    </row>
    <row r="2" spans="1:100" ht="18.600000000000001" thickBot="1" x14ac:dyDescent="0.4">
      <c r="A2" s="160" t="s">
        <v>172</v>
      </c>
      <c r="B2" s="161"/>
      <c r="C2" s="19"/>
      <c r="D2" s="19"/>
      <c r="E2" s="19"/>
      <c r="F2" s="16" t="s">
        <v>153</v>
      </c>
      <c r="G2" s="16"/>
      <c r="H2" s="17"/>
      <c r="I2" s="19"/>
      <c r="J2" s="17"/>
      <c r="K2" s="17"/>
      <c r="L2" s="108"/>
      <c r="M2" s="16" t="s">
        <v>154</v>
      </c>
      <c r="N2" s="19"/>
      <c r="O2" s="19"/>
      <c r="P2" s="20"/>
      <c r="Q2" s="18"/>
      <c r="R2" s="16" t="s">
        <v>104</v>
      </c>
      <c r="S2" s="19"/>
      <c r="T2" s="19"/>
      <c r="U2" s="20"/>
      <c r="AJ2" s="8"/>
      <c r="AK2" s="216"/>
      <c r="BA2" s="264" t="s">
        <v>201</v>
      </c>
      <c r="BB2" s="265"/>
      <c r="BC2" s="265"/>
      <c r="BD2" s="265"/>
      <c r="BE2" s="265"/>
      <c r="BF2" s="265"/>
      <c r="BG2" s="265"/>
      <c r="BH2" s="265"/>
      <c r="BI2" s="265"/>
      <c r="BJ2" s="265"/>
      <c r="BK2" s="265"/>
      <c r="BL2" s="265"/>
      <c r="BM2" s="265"/>
      <c r="BN2" s="266"/>
      <c r="CA2" s="297" t="s">
        <v>208</v>
      </c>
    </row>
    <row r="3" spans="1:100" ht="15" hidden="1" thickBot="1" x14ac:dyDescent="0.35">
      <c r="A3" s="160" t="s">
        <v>1</v>
      </c>
      <c r="B3" s="161"/>
      <c r="AK3" s="216"/>
      <c r="BA3" s="255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  <c r="BM3" s="54"/>
      <c r="BN3" s="256"/>
      <c r="CA3" s="297" t="s">
        <v>206</v>
      </c>
    </row>
    <row r="4" spans="1:100" ht="15" hidden="1" thickBot="1" x14ac:dyDescent="0.35">
      <c r="A4" s="160" t="s">
        <v>2</v>
      </c>
      <c r="B4" s="161" t="s">
        <v>3</v>
      </c>
      <c r="AK4" s="216"/>
      <c r="BA4" s="255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256"/>
      <c r="CA4" s="297" t="s">
        <v>207</v>
      </c>
    </row>
    <row r="5" spans="1:100" ht="15" hidden="1" thickBot="1" x14ac:dyDescent="0.35">
      <c r="A5" s="162" t="s">
        <v>4</v>
      </c>
      <c r="B5" s="163" t="s">
        <v>5</v>
      </c>
      <c r="AK5" s="216"/>
      <c r="BA5" s="255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256"/>
      <c r="CA5" s="298"/>
    </row>
    <row r="6" spans="1:100" ht="15" hidden="1" thickBot="1" x14ac:dyDescent="0.35">
      <c r="A6" s="162" t="s">
        <v>6</v>
      </c>
      <c r="B6" s="163" t="s">
        <v>7</v>
      </c>
      <c r="AK6" s="216"/>
      <c r="BA6" s="255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256"/>
      <c r="CA6" s="298"/>
    </row>
    <row r="7" spans="1:100" ht="16.2" thickBot="1" x14ac:dyDescent="0.35">
      <c r="A7" s="164" t="s">
        <v>173</v>
      </c>
      <c r="B7" s="165"/>
      <c r="V7" s="146" t="s">
        <v>193</v>
      </c>
      <c r="W7" s="128"/>
      <c r="X7" s="82"/>
      <c r="Y7" s="146" t="s">
        <v>194</v>
      </c>
      <c r="Z7" s="128"/>
      <c r="AA7" s="128"/>
      <c r="AB7" s="81"/>
      <c r="AC7" s="154" t="s">
        <v>199</v>
      </c>
      <c r="AD7" s="82"/>
      <c r="AF7" s="277" t="s">
        <v>195</v>
      </c>
      <c r="AG7" s="268"/>
      <c r="AI7" s="131"/>
      <c r="AJ7" s="8"/>
      <c r="AK7" s="216"/>
      <c r="BA7" s="257" t="s">
        <v>202</v>
      </c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256"/>
      <c r="CA7" s="299" t="s">
        <v>209</v>
      </c>
    </row>
    <row r="8" spans="1:100" ht="18.600000000000001" thickBot="1" x14ac:dyDescent="0.4">
      <c r="R8" s="35"/>
      <c r="V8" s="83"/>
      <c r="W8" s="144"/>
      <c r="X8" s="84"/>
      <c r="Y8" s="83"/>
      <c r="Z8" s="144"/>
      <c r="AA8" s="144"/>
      <c r="AB8" s="83"/>
      <c r="AC8" s="152"/>
      <c r="AD8" s="84"/>
      <c r="AF8" s="278" t="s">
        <v>200</v>
      </c>
      <c r="AG8" s="268"/>
      <c r="AI8" s="90"/>
      <c r="AJ8" s="8"/>
      <c r="AK8" s="216"/>
      <c r="BA8" s="258" t="s">
        <v>189</v>
      </c>
      <c r="BB8" s="259"/>
      <c r="BC8" s="259"/>
      <c r="BD8" s="259"/>
      <c r="BE8" s="259"/>
      <c r="BF8" s="259"/>
      <c r="BG8" s="259"/>
      <c r="BH8" s="259"/>
      <c r="BI8" s="259"/>
      <c r="BJ8" s="259"/>
      <c r="BK8" s="259"/>
      <c r="BL8" s="259"/>
      <c r="BM8" s="259"/>
      <c r="BN8" s="260"/>
      <c r="CA8" s="298"/>
    </row>
    <row r="9" spans="1:100" ht="29.4" thickBot="1" x14ac:dyDescent="0.35">
      <c r="C9" s="99" t="s">
        <v>8</v>
      </c>
      <c r="D9" s="100" t="s">
        <v>8</v>
      </c>
      <c r="E9" s="100" t="s">
        <v>8</v>
      </c>
      <c r="F9" s="100">
        <v>2022</v>
      </c>
      <c r="G9" s="101" t="s">
        <v>8</v>
      </c>
      <c r="H9" s="102" t="s">
        <v>8</v>
      </c>
      <c r="I9" s="105" t="s">
        <v>9</v>
      </c>
      <c r="J9" s="106" t="s">
        <v>9</v>
      </c>
      <c r="K9" s="101" t="s">
        <v>9</v>
      </c>
      <c r="L9" s="107" t="s">
        <v>9</v>
      </c>
      <c r="M9" s="93" t="s">
        <v>140</v>
      </c>
      <c r="N9" s="94" t="s">
        <v>140</v>
      </c>
      <c r="O9" s="94" t="s">
        <v>140</v>
      </c>
      <c r="P9" s="95" t="s">
        <v>140</v>
      </c>
      <c r="Q9" s="117" t="s">
        <v>155</v>
      </c>
      <c r="R9" s="118" t="s">
        <v>155</v>
      </c>
      <c r="S9" s="138" t="s">
        <v>155</v>
      </c>
      <c r="T9" s="139" t="s">
        <v>166</v>
      </c>
      <c r="U9" s="142" t="s">
        <v>155</v>
      </c>
      <c r="V9" s="85"/>
      <c r="W9" s="129"/>
      <c r="X9" s="86"/>
      <c r="Y9" s="85"/>
      <c r="Z9" s="129"/>
      <c r="AA9" s="129"/>
      <c r="AB9" s="85"/>
      <c r="AC9" s="129"/>
      <c r="AD9" s="86"/>
      <c r="AF9" s="279" t="s">
        <v>196</v>
      </c>
      <c r="AI9" s="91"/>
      <c r="AJ9" s="132"/>
      <c r="AK9" s="217"/>
      <c r="AL9" s="131"/>
      <c r="AM9" s="131"/>
      <c r="AN9" s="131"/>
      <c r="AO9" s="131"/>
      <c r="BA9" s="1"/>
    </row>
    <row r="10" spans="1:100" ht="57.6" x14ac:dyDescent="0.3">
      <c r="C10" s="96" t="s">
        <v>11</v>
      </c>
      <c r="D10" s="97" t="s">
        <v>11</v>
      </c>
      <c r="E10" s="97" t="s">
        <v>11</v>
      </c>
      <c r="F10" s="97" t="s">
        <v>11</v>
      </c>
      <c r="G10" s="98" t="s">
        <v>11</v>
      </c>
      <c r="H10" s="97" t="s">
        <v>11</v>
      </c>
      <c r="I10" s="103" t="s">
        <v>11</v>
      </c>
      <c r="J10" s="104" t="s">
        <v>11</v>
      </c>
      <c r="K10" s="98" t="s">
        <v>11</v>
      </c>
      <c r="L10" s="103" t="s">
        <v>11</v>
      </c>
      <c r="M10" s="92" t="s">
        <v>141</v>
      </c>
      <c r="N10" s="92" t="s">
        <v>142</v>
      </c>
      <c r="O10" s="92" t="s">
        <v>190</v>
      </c>
      <c r="P10" s="92" t="s">
        <v>143</v>
      </c>
      <c r="Q10" s="119"/>
      <c r="R10" s="121"/>
      <c r="S10" s="123"/>
      <c r="T10" s="137"/>
      <c r="U10" s="147"/>
      <c r="V10" s="79" t="s">
        <v>116</v>
      </c>
      <c r="W10" s="156" t="s">
        <v>114</v>
      </c>
      <c r="X10" s="156" t="s">
        <v>114</v>
      </c>
      <c r="Y10" s="143" t="s">
        <v>116</v>
      </c>
      <c r="Z10" s="157" t="s">
        <v>115</v>
      </c>
      <c r="AA10" s="157" t="s">
        <v>115</v>
      </c>
      <c r="AB10" s="143" t="s">
        <v>116</v>
      </c>
      <c r="AC10" s="157" t="s">
        <v>124</v>
      </c>
      <c r="AD10" s="157" t="s">
        <v>124</v>
      </c>
      <c r="AF10" s="127"/>
      <c r="AG10" s="269"/>
      <c r="AH10" s="269"/>
      <c r="AK10" s="216"/>
      <c r="BA10" s="248"/>
      <c r="BB10" s="54"/>
      <c r="BC10" s="54"/>
      <c r="BD10" s="54"/>
      <c r="BE10" s="54"/>
      <c r="BF10" s="54"/>
      <c r="BG10" s="54"/>
      <c r="BH10" s="54"/>
      <c r="BI10" s="54"/>
      <c r="BJ10" s="246" t="s">
        <v>179</v>
      </c>
      <c r="BY10" s="246" t="s">
        <v>179</v>
      </c>
      <c r="CJ10" s="246" t="s">
        <v>179</v>
      </c>
      <c r="CU10" s="285"/>
    </row>
    <row r="11" spans="1:100" ht="88.5" customHeight="1" thickBot="1" x14ac:dyDescent="0.35">
      <c r="A11" s="1" t="s">
        <v>92</v>
      </c>
      <c r="B11" s="1" t="s">
        <v>93</v>
      </c>
      <c r="C11" s="13" t="s">
        <v>13</v>
      </c>
      <c r="D11" s="13" t="s">
        <v>14</v>
      </c>
      <c r="E11" s="12" t="s">
        <v>95</v>
      </c>
      <c r="F11" s="13" t="s">
        <v>94</v>
      </c>
      <c r="G11" s="14" t="s">
        <v>97</v>
      </c>
      <c r="H11" s="13" t="s">
        <v>98</v>
      </c>
      <c r="I11" s="10" t="s">
        <v>13</v>
      </c>
      <c r="J11" s="15" t="s">
        <v>14</v>
      </c>
      <c r="K11" s="14" t="s">
        <v>101</v>
      </c>
      <c r="L11" s="10" t="s">
        <v>98</v>
      </c>
      <c r="M11" s="9"/>
      <c r="N11" s="9"/>
      <c r="O11" s="9"/>
      <c r="P11" s="9"/>
      <c r="Q11" s="120" t="s">
        <v>13</v>
      </c>
      <c r="R11" s="122" t="s">
        <v>14</v>
      </c>
      <c r="S11" s="140" t="s">
        <v>169</v>
      </c>
      <c r="T11" s="141" t="s">
        <v>170</v>
      </c>
      <c r="U11" s="148" t="s">
        <v>168</v>
      </c>
      <c r="V11" s="80" t="s">
        <v>139</v>
      </c>
      <c r="W11" s="80" t="s">
        <v>158</v>
      </c>
      <c r="X11" s="145" t="s">
        <v>168</v>
      </c>
      <c r="Y11" s="80" t="s">
        <v>138</v>
      </c>
      <c r="Z11" s="80" t="s">
        <v>158</v>
      </c>
      <c r="AA11" s="145" t="s">
        <v>168</v>
      </c>
      <c r="AB11" s="80" t="s">
        <v>137</v>
      </c>
      <c r="AC11" s="80" t="s">
        <v>158</v>
      </c>
      <c r="AD11" s="145" t="s">
        <v>168</v>
      </c>
      <c r="AE11" s="270"/>
      <c r="AF11" s="271"/>
      <c r="AG11" s="271"/>
      <c r="AH11" s="272"/>
      <c r="AI11" s="127"/>
      <c r="AK11" s="216"/>
      <c r="AL11" s="126"/>
      <c r="BA11" s="248"/>
      <c r="BB11" s="54"/>
      <c r="BC11" s="54"/>
      <c r="BD11" s="54"/>
      <c r="BE11" s="54"/>
      <c r="BF11" s="54"/>
      <c r="BG11" s="54"/>
      <c r="BH11" s="54"/>
      <c r="BI11" s="54"/>
      <c r="BJ11" s="263" t="s">
        <v>180</v>
      </c>
      <c r="BP11" s="54"/>
      <c r="BQ11" s="54"/>
      <c r="BR11" s="54"/>
      <c r="BS11" s="54"/>
      <c r="BT11" s="54"/>
      <c r="BU11" s="54"/>
      <c r="BV11" s="54"/>
      <c r="BW11" s="54"/>
      <c r="BX11" s="54"/>
      <c r="BY11" s="263" t="s">
        <v>180</v>
      </c>
      <c r="CA11" s="54"/>
      <c r="CB11" s="54"/>
      <c r="CC11" s="54"/>
      <c r="CD11" s="54"/>
      <c r="CE11" s="54"/>
      <c r="CF11" s="54"/>
      <c r="CG11" s="54"/>
      <c r="CH11" s="54"/>
      <c r="CI11" s="54"/>
      <c r="CJ11" s="247" t="s">
        <v>180</v>
      </c>
      <c r="CU11" s="285"/>
    </row>
    <row r="12" spans="1:100" ht="15" thickBot="1" x14ac:dyDescent="0.35">
      <c r="A12" s="4" t="s">
        <v>18</v>
      </c>
      <c r="B12" s="4" t="s">
        <v>36</v>
      </c>
      <c r="C12" s="11">
        <v>4929919.07</v>
      </c>
      <c r="D12" s="11">
        <v>5020757.4499999993</v>
      </c>
      <c r="E12" s="11">
        <v>-63630</v>
      </c>
      <c r="F12" s="11">
        <f t="shared" ref="F12:F45" si="0">D12-E12</f>
        <v>5084387.4499999993</v>
      </c>
      <c r="G12" s="11">
        <f t="shared" ref="G12:G46" si="1">C12-F12+H12</f>
        <v>1151960.1800000011</v>
      </c>
      <c r="H12" s="11">
        <v>1306428.56</v>
      </c>
      <c r="I12" s="7">
        <v>5986471.1399999997</v>
      </c>
      <c r="J12" s="7">
        <v>6248047.9700000007</v>
      </c>
      <c r="K12" s="11">
        <f t="shared" ref="K12:K46" si="2">I12-J12+L12</f>
        <v>1305425.439999999</v>
      </c>
      <c r="L12" s="7">
        <v>1567002.27</v>
      </c>
      <c r="M12" s="8">
        <f>(C12+I12)/2</f>
        <v>5458195.1050000004</v>
      </c>
      <c r="N12" s="8">
        <f>((F12+J12)/2)-P12</f>
        <v>4229502.2949999999</v>
      </c>
      <c r="O12" s="7">
        <f t="shared" ref="O12:O29" si="3">(G12+K12)/2</f>
        <v>1228692.81</v>
      </c>
      <c r="P12" s="8">
        <f t="shared" ref="P12:P29" si="4">(H12+L12)/2</f>
        <v>1436715.415</v>
      </c>
      <c r="Q12" s="44">
        <v>4815944</v>
      </c>
      <c r="R12" s="47">
        <f>5104334.67111116-T12</f>
        <v>3825459.67111116</v>
      </c>
      <c r="S12" s="116">
        <f>Q12-R12</f>
        <v>990484.32888884004</v>
      </c>
      <c r="T12" s="49">
        <v>1278875</v>
      </c>
      <c r="U12" s="149">
        <f>S12-T12</f>
        <v>-288390.67111115996</v>
      </c>
      <c r="V12" s="51">
        <f>(Q12*$M$52)</f>
        <v>935651.70330600254</v>
      </c>
      <c r="W12" s="42">
        <f>V12-T12</f>
        <v>-343223.29669399746</v>
      </c>
      <c r="X12" s="133">
        <f>S12-V12</f>
        <v>54832.6255828375</v>
      </c>
      <c r="Y12" s="51">
        <f>(R12*N$52)</f>
        <v>933385.27788991178</v>
      </c>
      <c r="Z12" s="42">
        <f>Y12-T12</f>
        <v>-345489.72211008822</v>
      </c>
      <c r="AA12" s="133">
        <f>S12-Y12</f>
        <v>57099.050998928258</v>
      </c>
      <c r="AB12" s="51">
        <f>(S12*$O$52)</f>
        <v>944509.44084585493</v>
      </c>
      <c r="AC12" s="46">
        <f>AB12-T12</f>
        <v>-334365.55915414507</v>
      </c>
      <c r="AD12" s="133">
        <f>S12-AB12</f>
        <v>45974.888042985112</v>
      </c>
      <c r="AE12" s="273"/>
      <c r="AF12" s="8"/>
      <c r="AG12" s="8"/>
      <c r="AH12" s="274"/>
      <c r="AK12" s="216"/>
      <c r="AQ12" s="8"/>
      <c r="BA12" s="186"/>
      <c r="BB12" s="167"/>
      <c r="BC12" s="168" t="s">
        <v>160</v>
      </c>
      <c r="BD12" s="168"/>
      <c r="BE12" s="168"/>
      <c r="BF12" s="168"/>
      <c r="BG12" s="168"/>
      <c r="BH12" s="169"/>
      <c r="BI12" s="170"/>
      <c r="BJ12" s="171" t="s">
        <v>178</v>
      </c>
      <c r="BP12" s="186"/>
      <c r="BQ12" s="167"/>
      <c r="BR12" s="168" t="s">
        <v>163</v>
      </c>
      <c r="BS12" s="168"/>
      <c r="BT12" s="168"/>
      <c r="BU12" s="168"/>
      <c r="BV12" s="168"/>
      <c r="BW12" s="169"/>
      <c r="BX12" s="170"/>
      <c r="BY12" s="171" t="s">
        <v>178</v>
      </c>
      <c r="BZ12" s="166"/>
      <c r="CA12" s="186"/>
      <c r="CB12" s="219"/>
      <c r="CC12" s="220" t="s">
        <v>165</v>
      </c>
      <c r="CD12" s="220"/>
      <c r="CE12" s="220"/>
      <c r="CF12" s="220"/>
      <c r="CG12" s="220"/>
      <c r="CH12" s="221"/>
      <c r="CI12" s="222"/>
      <c r="CJ12" s="188" t="s">
        <v>178</v>
      </c>
      <c r="CK12" s="186"/>
      <c r="CM12" s="291" t="s">
        <v>195</v>
      </c>
      <c r="CN12" s="1"/>
      <c r="CO12" s="1"/>
      <c r="CP12" s="1"/>
      <c r="CQ12" s="1"/>
      <c r="CR12" s="1"/>
      <c r="CS12" s="268"/>
      <c r="CT12" s="1"/>
      <c r="CU12" s="268"/>
    </row>
    <row r="13" spans="1:100" ht="15" thickBot="1" x14ac:dyDescent="0.35">
      <c r="A13" s="4" t="s">
        <v>18</v>
      </c>
      <c r="B13" s="4" t="s">
        <v>37</v>
      </c>
      <c r="C13" s="7">
        <v>342234.67</v>
      </c>
      <c r="D13" s="7">
        <v>781058.27</v>
      </c>
      <c r="E13" s="7">
        <v>-6905</v>
      </c>
      <c r="F13" s="7">
        <f t="shared" si="0"/>
        <v>787963.27</v>
      </c>
      <c r="G13" s="7">
        <f>C13-F13+H13</f>
        <v>-355036.41000000003</v>
      </c>
      <c r="H13" s="7">
        <v>90692.19</v>
      </c>
      <c r="I13" s="7">
        <v>993409.19000000006</v>
      </c>
      <c r="J13" s="7">
        <v>2085034.8300000005</v>
      </c>
      <c r="K13" s="7">
        <f t="shared" si="2"/>
        <v>-828372.23000000068</v>
      </c>
      <c r="L13" s="7">
        <v>263253.40999999997</v>
      </c>
      <c r="M13" s="8">
        <f t="shared" ref="M13:M48" si="5">(C13+I13)/2</f>
        <v>667821.93000000005</v>
      </c>
      <c r="N13" s="8">
        <f t="shared" ref="N13:N29" si="6">((F13+J13)/2)-P13</f>
        <v>1259526.2500000002</v>
      </c>
      <c r="O13" s="7">
        <f t="shared" si="3"/>
        <v>-591704.3200000003</v>
      </c>
      <c r="P13" s="8">
        <f t="shared" si="4"/>
        <v>176972.79999999999</v>
      </c>
      <c r="Q13" s="44">
        <v>1331875</v>
      </c>
      <c r="R13" s="47">
        <f>1903431.91777779-T13</f>
        <v>1550484.91777779</v>
      </c>
      <c r="S13" s="44">
        <f>-571556.917777791+T13</f>
        <v>-218609.91777779104</v>
      </c>
      <c r="T13" s="49">
        <v>352947</v>
      </c>
      <c r="U13" s="149">
        <f t="shared" ref="U13:U29" si="7">S13-T13</f>
        <v>-571556.91777779104</v>
      </c>
      <c r="V13" s="51">
        <f t="shared" ref="V13:V29" si="8">(Q13*$M$52)</f>
        <v>258759.46903466529</v>
      </c>
      <c r="W13" s="42">
        <f t="shared" ref="W13:W48" si="9">V13-T13</f>
        <v>-94187.530965334707</v>
      </c>
      <c r="X13" s="133">
        <f t="shared" ref="X13:X29" si="10">S13-V13</f>
        <v>-477369.3868124563</v>
      </c>
      <c r="Y13" s="51">
        <f t="shared" ref="Y13:Y29" si="11">(R13*N$52)</f>
        <v>378307.42453593278</v>
      </c>
      <c r="Z13" s="42">
        <f t="shared" ref="Z13:Z29" si="12">Y13-T13</f>
        <v>25360.424535932776</v>
      </c>
      <c r="AA13" s="133">
        <f t="shared" ref="AA13:AA29" si="13">S13-Y13</f>
        <v>-596917.34231372387</v>
      </c>
      <c r="AB13" s="52">
        <v>0</v>
      </c>
      <c r="AC13" s="46">
        <f>-(T13-AB13)</f>
        <v>-352947</v>
      </c>
      <c r="AD13" s="133">
        <f t="shared" ref="AD13:AD29" si="14">S13-AB13</f>
        <v>-218609.91777779104</v>
      </c>
      <c r="AE13" s="275"/>
      <c r="AF13" s="276"/>
      <c r="AG13" s="8"/>
      <c r="AH13" s="274"/>
      <c r="AK13" s="216"/>
      <c r="AQ13" s="8"/>
      <c r="BA13" s="186"/>
      <c r="BB13" s="172" t="s">
        <v>162</v>
      </c>
      <c r="BC13" s="173"/>
      <c r="BD13" s="174"/>
      <c r="BE13" s="174"/>
      <c r="BF13" s="171" t="s">
        <v>114</v>
      </c>
      <c r="BG13" s="174"/>
      <c r="BH13" s="175" t="s">
        <v>161</v>
      </c>
      <c r="BI13" s="170"/>
      <c r="BJ13" s="176" t="s">
        <v>119</v>
      </c>
      <c r="BP13" s="186"/>
      <c r="BQ13" s="172" t="s">
        <v>162</v>
      </c>
      <c r="BR13" s="173"/>
      <c r="BS13" s="170"/>
      <c r="BT13" s="170"/>
      <c r="BU13" s="171" t="s">
        <v>115</v>
      </c>
      <c r="BV13" s="170"/>
      <c r="BW13" s="188" t="s">
        <v>161</v>
      </c>
      <c r="BX13" s="170"/>
      <c r="BY13" s="176" t="s">
        <v>119</v>
      </c>
      <c r="BZ13" s="166"/>
      <c r="CA13" s="186"/>
      <c r="CB13" s="219" t="s">
        <v>162</v>
      </c>
      <c r="CC13" s="223"/>
      <c r="CD13" s="198"/>
      <c r="CE13" s="198"/>
      <c r="CF13" s="188" t="s">
        <v>124</v>
      </c>
      <c r="CG13" s="222"/>
      <c r="CH13" s="188" t="s">
        <v>161</v>
      </c>
      <c r="CI13" s="222"/>
      <c r="CJ13" s="224" t="s">
        <v>119</v>
      </c>
      <c r="CK13" s="186"/>
      <c r="CM13" s="289" t="s">
        <v>200</v>
      </c>
      <c r="CN13" s="1"/>
      <c r="CO13" s="268"/>
      <c r="CP13" s="268"/>
      <c r="CQ13" s="268"/>
      <c r="CR13" s="1"/>
      <c r="CS13" s="269"/>
      <c r="CT13" s="1"/>
      <c r="CU13" s="268"/>
    </row>
    <row r="14" spans="1:100" ht="15" thickBot="1" x14ac:dyDescent="0.35">
      <c r="A14" s="4" t="s">
        <v>18</v>
      </c>
      <c r="B14" s="4" t="s">
        <v>41</v>
      </c>
      <c r="C14" s="7">
        <v>476032.55999999994</v>
      </c>
      <c r="D14" s="7">
        <v>299164.96999999997</v>
      </c>
      <c r="E14" s="7">
        <v>-17014</v>
      </c>
      <c r="F14" s="7">
        <f t="shared" si="0"/>
        <v>316178.96999999997</v>
      </c>
      <c r="G14" s="7">
        <f t="shared" si="1"/>
        <v>286002.25999999995</v>
      </c>
      <c r="H14" s="7">
        <v>126148.67</v>
      </c>
      <c r="I14" s="7">
        <v>597594.69999999995</v>
      </c>
      <c r="J14" s="7">
        <v>390080.56</v>
      </c>
      <c r="K14" s="7">
        <f t="shared" si="2"/>
        <v>365876.73</v>
      </c>
      <c r="L14" s="7">
        <v>158362.59000000003</v>
      </c>
      <c r="M14" s="8">
        <f t="shared" si="5"/>
        <v>536813.62999999989</v>
      </c>
      <c r="N14" s="8">
        <f t="shared" si="6"/>
        <v>210874.13500000001</v>
      </c>
      <c r="O14" s="7">
        <f t="shared" si="3"/>
        <v>325939.495</v>
      </c>
      <c r="P14" s="8">
        <f t="shared" si="4"/>
        <v>142255.63</v>
      </c>
      <c r="Q14" s="44">
        <v>764499.99999999953</v>
      </c>
      <c r="R14" s="47">
        <f>669914.938839049-T14</f>
        <v>467321.93883904931</v>
      </c>
      <c r="S14" s="44">
        <f>94585.0611609507+T14</f>
        <v>297178.06116095034</v>
      </c>
      <c r="T14" s="49">
        <v>202592.99999999965</v>
      </c>
      <c r="U14" s="149">
        <f t="shared" si="7"/>
        <v>94585.061160950689</v>
      </c>
      <c r="V14" s="51">
        <f t="shared" si="8"/>
        <v>148528.66378376461</v>
      </c>
      <c r="W14" s="42">
        <f t="shared" si="9"/>
        <v>-54064.336216235039</v>
      </c>
      <c r="X14" s="133">
        <f t="shared" si="10"/>
        <v>148649.39737718573</v>
      </c>
      <c r="Y14" s="51">
        <f t="shared" si="11"/>
        <v>114023.26916196199</v>
      </c>
      <c r="Z14" s="42">
        <f t="shared" si="12"/>
        <v>-88569.730838037663</v>
      </c>
      <c r="AA14" s="133">
        <f t="shared" si="13"/>
        <v>183154.79199898837</v>
      </c>
      <c r="AB14" s="51">
        <f t="shared" ref="AB14:AB20" si="15">(S14*$O$52)</f>
        <v>283384.07402535033</v>
      </c>
      <c r="AC14" s="46">
        <f t="shared" ref="AC14:AC20" si="16">AB14-T14</f>
        <v>80791.074025350681</v>
      </c>
      <c r="AD14" s="133">
        <f t="shared" si="14"/>
        <v>13793.987135600008</v>
      </c>
      <c r="AE14" s="273"/>
      <c r="AF14" s="8"/>
      <c r="AG14" s="8"/>
      <c r="AH14" s="274"/>
      <c r="AK14" s="216"/>
      <c r="AQ14" s="8"/>
      <c r="BA14" s="186"/>
      <c r="BB14" s="177" t="s">
        <v>159</v>
      </c>
      <c r="BC14" s="178" t="s">
        <v>117</v>
      </c>
      <c r="BD14" s="179"/>
      <c r="BE14" s="179"/>
      <c r="BF14" s="180" t="s">
        <v>117</v>
      </c>
      <c r="BG14" s="181"/>
      <c r="BH14" s="182" t="s">
        <v>118</v>
      </c>
      <c r="BI14" s="170"/>
      <c r="BJ14" s="180" t="s">
        <v>120</v>
      </c>
      <c r="BP14" s="186"/>
      <c r="BQ14" s="177" t="s">
        <v>164</v>
      </c>
      <c r="BR14" s="178" t="s">
        <v>117</v>
      </c>
      <c r="BS14" s="179"/>
      <c r="BT14" s="179"/>
      <c r="BU14" s="180" t="s">
        <v>117</v>
      </c>
      <c r="BV14" s="181"/>
      <c r="BW14" s="180" t="s">
        <v>118</v>
      </c>
      <c r="BX14" s="170"/>
      <c r="BY14" s="180" t="s">
        <v>120</v>
      </c>
      <c r="BZ14" s="166"/>
      <c r="CA14" s="186"/>
      <c r="CB14" s="225" t="s">
        <v>167</v>
      </c>
      <c r="CC14" s="226" t="s">
        <v>117</v>
      </c>
      <c r="CD14" s="227"/>
      <c r="CE14" s="198"/>
      <c r="CF14" s="228" t="s">
        <v>117</v>
      </c>
      <c r="CG14" s="222"/>
      <c r="CH14" s="228" t="s">
        <v>118</v>
      </c>
      <c r="CI14" s="222"/>
      <c r="CJ14" s="228" t="s">
        <v>120</v>
      </c>
      <c r="CK14" s="186"/>
      <c r="CM14" s="290" t="s">
        <v>196</v>
      </c>
      <c r="CN14" s="268"/>
      <c r="CO14" s="268"/>
      <c r="CP14" s="268"/>
      <c r="CQ14" s="268"/>
      <c r="CR14" s="1"/>
      <c r="CS14" s="268"/>
      <c r="CT14" s="1"/>
      <c r="CU14" s="268"/>
    </row>
    <row r="15" spans="1:100" ht="15" thickBot="1" x14ac:dyDescent="0.35">
      <c r="A15" s="4" t="s">
        <v>18</v>
      </c>
      <c r="B15" s="4" t="s">
        <v>55</v>
      </c>
      <c r="C15" s="7">
        <v>2581055.69</v>
      </c>
      <c r="D15" s="7">
        <v>2923696.1199999996</v>
      </c>
      <c r="E15" s="7">
        <v>-108139</v>
      </c>
      <c r="F15" s="7">
        <f t="shared" si="0"/>
        <v>3031835.1199999996</v>
      </c>
      <c r="G15" s="7">
        <f t="shared" si="1"/>
        <v>233200.32000000018</v>
      </c>
      <c r="H15" s="7">
        <v>683979.74999999988</v>
      </c>
      <c r="I15" s="7">
        <v>2233508.85</v>
      </c>
      <c r="J15" s="7">
        <v>2724203.5500000003</v>
      </c>
      <c r="K15" s="7">
        <f t="shared" si="2"/>
        <v>101204.4099999998</v>
      </c>
      <c r="L15" s="7">
        <v>591899.11</v>
      </c>
      <c r="M15" s="8">
        <f t="shared" si="5"/>
        <v>2407282.27</v>
      </c>
      <c r="N15" s="8">
        <f t="shared" si="6"/>
        <v>2240079.9050000003</v>
      </c>
      <c r="O15" s="7">
        <f t="shared" si="3"/>
        <v>167202.36499999999</v>
      </c>
      <c r="P15" s="8">
        <f t="shared" si="4"/>
        <v>637939.42999999993</v>
      </c>
      <c r="Q15" s="44">
        <v>2300900.0000000037</v>
      </c>
      <c r="R15" s="47">
        <f>2814187.98046485-T15</f>
        <v>2180704.9804648506</v>
      </c>
      <c r="S15" s="44">
        <f>-513287.980464845+T15</f>
        <v>120195.01953515463</v>
      </c>
      <c r="T15" s="49">
        <v>633482.99999999965</v>
      </c>
      <c r="U15" s="149">
        <f t="shared" si="7"/>
        <v>-513287.98046484502</v>
      </c>
      <c r="V15" s="51">
        <f t="shared" si="8"/>
        <v>447023.67887516646</v>
      </c>
      <c r="W15" s="42">
        <f t="shared" si="9"/>
        <v>-186459.32112483319</v>
      </c>
      <c r="X15" s="133">
        <f t="shared" si="10"/>
        <v>-326828.65934001183</v>
      </c>
      <c r="Y15" s="51">
        <f t="shared" si="11"/>
        <v>532076.69121652946</v>
      </c>
      <c r="Z15" s="42">
        <f t="shared" si="12"/>
        <v>-101406.30878347019</v>
      </c>
      <c r="AA15" s="133">
        <f t="shared" si="13"/>
        <v>-411881.67168137484</v>
      </c>
      <c r="AB15" s="51">
        <f t="shared" si="15"/>
        <v>114615.97865052766</v>
      </c>
      <c r="AC15" s="46">
        <f t="shared" si="16"/>
        <v>-518867.02134947199</v>
      </c>
      <c r="AD15" s="133">
        <f t="shared" si="14"/>
        <v>5579.0408846269711</v>
      </c>
      <c r="AE15" s="273"/>
      <c r="AF15" s="8"/>
      <c r="AG15" s="8"/>
      <c r="AH15" s="274"/>
      <c r="AK15" s="216"/>
      <c r="AQ15" s="8"/>
      <c r="BA15" s="187" t="s">
        <v>36</v>
      </c>
      <c r="BB15" s="202">
        <f>Q12</f>
        <v>4815944</v>
      </c>
      <c r="BC15" s="202">
        <f>T12</f>
        <v>1278875</v>
      </c>
      <c r="BD15" s="203"/>
      <c r="BE15" s="204"/>
      <c r="BF15" s="202">
        <f>V12</f>
        <v>935651.70330600254</v>
      </c>
      <c r="BG15" s="203"/>
      <c r="BH15" s="202">
        <f>W12</f>
        <v>-343223.29669399746</v>
      </c>
      <c r="BI15" s="203"/>
      <c r="BJ15" s="205" t="s">
        <v>176</v>
      </c>
      <c r="BK15" s="166"/>
      <c r="BP15" s="187" t="s">
        <v>36</v>
      </c>
      <c r="BQ15" s="183">
        <f>R12</f>
        <v>3825459.67111116</v>
      </c>
      <c r="BR15" s="183">
        <f>BC15</f>
        <v>1278875</v>
      </c>
      <c r="BS15" s="166"/>
      <c r="BT15" s="184"/>
      <c r="BU15" s="183">
        <f>Y12</f>
        <v>933385.27788991178</v>
      </c>
      <c r="BV15" s="166"/>
      <c r="BW15" s="183">
        <f>Z12</f>
        <v>-345489.72211008822</v>
      </c>
      <c r="BX15" s="166"/>
      <c r="BY15" s="205" t="s">
        <v>176</v>
      </c>
      <c r="BZ15" s="166"/>
      <c r="CA15" s="187" t="s">
        <v>36</v>
      </c>
      <c r="CB15" s="229">
        <f>S12</f>
        <v>990484.32888884004</v>
      </c>
      <c r="CC15" s="229">
        <f>BR15</f>
        <v>1278875</v>
      </c>
      <c r="CD15" s="186"/>
      <c r="CE15" s="230"/>
      <c r="CF15" s="229">
        <f>AB12</f>
        <v>944509.44084585493</v>
      </c>
      <c r="CG15" s="186"/>
      <c r="CH15" s="229">
        <f>AC12</f>
        <v>-334365.55915414507</v>
      </c>
      <c r="CI15" s="186"/>
      <c r="CJ15" s="231" t="s">
        <v>176</v>
      </c>
      <c r="CK15" s="186"/>
      <c r="CL15" s="286"/>
      <c r="CM15" s="8"/>
      <c r="CN15" s="8"/>
      <c r="CQ15" s="8"/>
      <c r="CS15" s="8"/>
      <c r="CU15" s="287"/>
    </row>
    <row r="16" spans="1:100" x14ac:dyDescent="0.3">
      <c r="A16" s="4" t="s">
        <v>18</v>
      </c>
      <c r="B16" s="4" t="s">
        <v>56</v>
      </c>
      <c r="C16" s="7">
        <v>4265990.8</v>
      </c>
      <c r="D16" s="7">
        <v>3226223.8699999996</v>
      </c>
      <c r="E16" s="7">
        <v>-162863</v>
      </c>
      <c r="F16" s="7">
        <f t="shared" si="0"/>
        <v>3389086.8699999996</v>
      </c>
      <c r="G16" s="7">
        <f t="shared" si="1"/>
        <v>2007391.4900000002</v>
      </c>
      <c r="H16" s="7">
        <v>1130487.56</v>
      </c>
      <c r="I16" s="7">
        <v>3807854.2899999996</v>
      </c>
      <c r="J16" s="7">
        <v>4017916.61</v>
      </c>
      <c r="K16" s="7">
        <f t="shared" si="2"/>
        <v>805018.34999999963</v>
      </c>
      <c r="L16" s="7">
        <v>1015080.6699999999</v>
      </c>
      <c r="M16" s="8">
        <f t="shared" si="5"/>
        <v>4036922.5449999999</v>
      </c>
      <c r="N16" s="8">
        <f t="shared" si="6"/>
        <v>2630717.625</v>
      </c>
      <c r="O16" s="7">
        <f t="shared" si="3"/>
        <v>1406204.92</v>
      </c>
      <c r="P16" s="8">
        <f t="shared" si="4"/>
        <v>1072784.115</v>
      </c>
      <c r="Q16" s="44">
        <v>4440713</v>
      </c>
      <c r="R16" s="47">
        <f>3616858.06499984-T16</f>
        <v>2440069.0649998402</v>
      </c>
      <c r="S16" s="44">
        <f>823854.935000155+T16</f>
        <v>2000643.9350001551</v>
      </c>
      <c r="T16" s="49">
        <v>1176789</v>
      </c>
      <c r="U16" s="149">
        <f t="shared" si="7"/>
        <v>823854.93500015512</v>
      </c>
      <c r="V16" s="51">
        <f t="shared" si="8"/>
        <v>862751.03745872225</v>
      </c>
      <c r="W16" s="42">
        <f t="shared" si="9"/>
        <v>-314037.96254127775</v>
      </c>
      <c r="X16" s="133">
        <f t="shared" si="10"/>
        <v>1137892.8975414329</v>
      </c>
      <c r="Y16" s="51">
        <f t="shared" si="11"/>
        <v>595359.70526750141</v>
      </c>
      <c r="Z16" s="42">
        <f t="shared" si="12"/>
        <v>-581429.29473249859</v>
      </c>
      <c r="AA16" s="133">
        <f t="shared" si="13"/>
        <v>1405284.2297326536</v>
      </c>
      <c r="AB16" s="51">
        <f t="shared" si="15"/>
        <v>1907780.899974962</v>
      </c>
      <c r="AC16" s="46">
        <f t="shared" si="16"/>
        <v>730991.899974962</v>
      </c>
      <c r="AD16" s="133">
        <f t="shared" si="14"/>
        <v>92863.035025193123</v>
      </c>
      <c r="AE16" s="273"/>
      <c r="AF16" s="8"/>
      <c r="AG16" s="8"/>
      <c r="AH16" s="274"/>
      <c r="AK16" s="216"/>
      <c r="AQ16" s="8"/>
      <c r="BA16" s="187" t="s">
        <v>37</v>
      </c>
      <c r="BB16" s="202">
        <f t="shared" ref="BB16:BB32" si="17">Q13</f>
        <v>1331875</v>
      </c>
      <c r="BC16" s="202">
        <f t="shared" ref="BC16:BC32" si="18">T13</f>
        <v>352947</v>
      </c>
      <c r="BD16" s="203"/>
      <c r="BE16" s="204"/>
      <c r="BF16" s="202">
        <f t="shared" ref="BF16:BF32" si="19">V13</f>
        <v>258759.46903466529</v>
      </c>
      <c r="BG16" s="203"/>
      <c r="BH16" s="202">
        <f t="shared" ref="BH16:BH32" si="20">W13</f>
        <v>-94187.530965334707</v>
      </c>
      <c r="BI16" s="203"/>
      <c r="BJ16" s="250" t="s">
        <v>176</v>
      </c>
      <c r="BK16" s="171" t="s">
        <v>188</v>
      </c>
      <c r="BP16" s="187" t="s">
        <v>37</v>
      </c>
      <c r="BQ16" s="183">
        <f t="shared" ref="BQ16:BQ32" si="21">R13</f>
        <v>1550484.91777779</v>
      </c>
      <c r="BR16" s="183">
        <f t="shared" ref="BR16:BR32" si="22">BC16</f>
        <v>352947</v>
      </c>
      <c r="BS16" s="166"/>
      <c r="BT16" s="184"/>
      <c r="BU16" s="183">
        <f t="shared" ref="BU16:BU32" si="23">Y13</f>
        <v>378307.42453593278</v>
      </c>
      <c r="BV16" s="166"/>
      <c r="BW16" s="183">
        <f t="shared" ref="BW16:BW32" si="24">Z13</f>
        <v>25360.424535932776</v>
      </c>
      <c r="BX16" s="166"/>
      <c r="BY16" s="250" t="s">
        <v>176</v>
      </c>
      <c r="BZ16" s="171" t="s">
        <v>188</v>
      </c>
      <c r="CA16" s="253" t="s">
        <v>37</v>
      </c>
      <c r="CB16" s="229">
        <f t="shared" ref="CB16:CB32" si="25">S13</f>
        <v>-218609.91777779104</v>
      </c>
      <c r="CC16" s="229">
        <f t="shared" ref="CC16:CC32" si="26">BR16</f>
        <v>352947</v>
      </c>
      <c r="CD16" s="186"/>
      <c r="CE16" s="230"/>
      <c r="CF16" s="229">
        <f t="shared" ref="CF16:CF32" si="27">AB13</f>
        <v>0</v>
      </c>
      <c r="CG16" s="186"/>
      <c r="CH16" s="229">
        <f t="shared" ref="CH16:CH32" si="28">AC13</f>
        <v>-352947</v>
      </c>
      <c r="CI16" s="186"/>
      <c r="CJ16" s="231" t="s">
        <v>176</v>
      </c>
      <c r="CK16" s="283" t="s">
        <v>188</v>
      </c>
      <c r="CL16" s="286"/>
      <c r="CM16" s="8"/>
      <c r="CN16" s="8"/>
      <c r="CQ16" s="276"/>
      <c r="CS16" s="8"/>
      <c r="CU16" s="287"/>
      <c r="CV16" s="268"/>
    </row>
    <row r="17" spans="1:100" x14ac:dyDescent="0.3">
      <c r="A17" s="4" t="s">
        <v>18</v>
      </c>
      <c r="B17" s="4" t="s">
        <v>57</v>
      </c>
      <c r="C17" s="7">
        <v>931042.66999999993</v>
      </c>
      <c r="D17" s="7">
        <v>931042.66999999993</v>
      </c>
      <c r="E17" s="7">
        <v>-59291</v>
      </c>
      <c r="F17" s="7">
        <f t="shared" si="0"/>
        <v>990333.66999999993</v>
      </c>
      <c r="G17" s="7">
        <f t="shared" si="1"/>
        <v>187435.31</v>
      </c>
      <c r="H17" s="7">
        <v>246726.31</v>
      </c>
      <c r="I17" s="7">
        <v>872010.28999999992</v>
      </c>
      <c r="J17" s="7">
        <v>872010.29</v>
      </c>
      <c r="K17" s="7">
        <f t="shared" si="2"/>
        <v>173882.76999999987</v>
      </c>
      <c r="L17" s="7">
        <v>173882.77</v>
      </c>
      <c r="M17" s="8">
        <f t="shared" si="5"/>
        <v>901526.48</v>
      </c>
      <c r="N17" s="8">
        <f t="shared" si="6"/>
        <v>720867.44</v>
      </c>
      <c r="O17" s="7">
        <f t="shared" si="3"/>
        <v>180659.03999999992</v>
      </c>
      <c r="P17" s="8">
        <f t="shared" si="4"/>
        <v>210304.53999999998</v>
      </c>
      <c r="Q17" s="44">
        <v>817699.99000000011</v>
      </c>
      <c r="R17" s="47">
        <f>815115.827574916-T17</f>
        <v>598424.82757491595</v>
      </c>
      <c r="S17" s="44">
        <f>2584.16242508376+T17</f>
        <v>219275.16242508375</v>
      </c>
      <c r="T17" s="49">
        <v>216691</v>
      </c>
      <c r="U17" s="149">
        <f t="shared" si="7"/>
        <v>2584.1624250837485</v>
      </c>
      <c r="V17" s="51">
        <f t="shared" si="8"/>
        <v>158864.46944499383</v>
      </c>
      <c r="W17" s="42">
        <f t="shared" si="9"/>
        <v>-57826.530555006175</v>
      </c>
      <c r="X17" s="133">
        <f t="shared" si="10"/>
        <v>60410.692980089923</v>
      </c>
      <c r="Y17" s="51">
        <f t="shared" si="11"/>
        <v>146011.45274131026</v>
      </c>
      <c r="Z17" s="42">
        <f t="shared" si="12"/>
        <v>-70679.547258689738</v>
      </c>
      <c r="AA17" s="133">
        <f t="shared" si="13"/>
        <v>73263.709683773486</v>
      </c>
      <c r="AB17" s="51">
        <f t="shared" si="15"/>
        <v>209097.16086658358</v>
      </c>
      <c r="AC17" s="46">
        <f t="shared" si="16"/>
        <v>-7593.8391334164189</v>
      </c>
      <c r="AD17" s="133">
        <f t="shared" si="14"/>
        <v>10178.001558500167</v>
      </c>
      <c r="AE17" s="273"/>
      <c r="AF17" s="8"/>
      <c r="AG17" s="8"/>
      <c r="AH17" s="274"/>
      <c r="AK17" s="216"/>
      <c r="AQ17" s="8"/>
      <c r="BA17" s="187" t="s">
        <v>41</v>
      </c>
      <c r="BB17" s="202">
        <f t="shared" si="17"/>
        <v>764499.99999999953</v>
      </c>
      <c r="BC17" s="202">
        <f t="shared" si="18"/>
        <v>202592.99999999965</v>
      </c>
      <c r="BD17" s="203"/>
      <c r="BE17" s="204"/>
      <c r="BF17" s="202">
        <f t="shared" si="19"/>
        <v>148528.66378376461</v>
      </c>
      <c r="BG17" s="203"/>
      <c r="BH17" s="202">
        <f t="shared" si="20"/>
        <v>-54064.336216235039</v>
      </c>
      <c r="BI17" s="203"/>
      <c r="BJ17" s="250" t="s">
        <v>176</v>
      </c>
      <c r="BK17" s="176" t="s">
        <v>171</v>
      </c>
      <c r="BP17" s="187" t="s">
        <v>41</v>
      </c>
      <c r="BQ17" s="183">
        <f t="shared" si="21"/>
        <v>467321.93883904931</v>
      </c>
      <c r="BR17" s="183">
        <f t="shared" si="22"/>
        <v>202592.99999999965</v>
      </c>
      <c r="BS17" s="166"/>
      <c r="BT17" s="184"/>
      <c r="BU17" s="183">
        <f t="shared" si="23"/>
        <v>114023.26916196199</v>
      </c>
      <c r="BV17" s="166"/>
      <c r="BW17" s="183">
        <f t="shared" si="24"/>
        <v>-88569.730838037663</v>
      </c>
      <c r="BX17" s="166"/>
      <c r="BY17" s="250" t="s">
        <v>176</v>
      </c>
      <c r="BZ17" s="176" t="s">
        <v>171</v>
      </c>
      <c r="CA17" s="253" t="s">
        <v>41</v>
      </c>
      <c r="CB17" s="229">
        <f t="shared" si="25"/>
        <v>297178.06116095034</v>
      </c>
      <c r="CC17" s="229">
        <f t="shared" si="26"/>
        <v>202592.99999999965</v>
      </c>
      <c r="CD17" s="186"/>
      <c r="CE17" s="230"/>
      <c r="CF17" s="229">
        <f t="shared" si="27"/>
        <v>283384.07402535033</v>
      </c>
      <c r="CG17" s="186"/>
      <c r="CH17" s="229">
        <f t="shared" si="28"/>
        <v>80791.074025350681</v>
      </c>
      <c r="CI17" s="186"/>
      <c r="CJ17" s="231" t="s">
        <v>176</v>
      </c>
      <c r="CK17" s="284" t="s">
        <v>171</v>
      </c>
      <c r="CL17" s="286"/>
      <c r="CM17" s="8"/>
      <c r="CN17" s="8"/>
      <c r="CQ17" s="8"/>
      <c r="CS17" s="8"/>
      <c r="CU17" s="287"/>
      <c r="CV17" s="268"/>
    </row>
    <row r="18" spans="1:100" x14ac:dyDescent="0.3">
      <c r="A18" s="4" t="s">
        <v>18</v>
      </c>
      <c r="B18" s="4" t="s">
        <v>58</v>
      </c>
      <c r="C18" s="7">
        <v>1038205.56</v>
      </c>
      <c r="D18" s="7">
        <v>1036837.49</v>
      </c>
      <c r="E18" s="7">
        <v>-25212</v>
      </c>
      <c r="F18" s="7">
        <f t="shared" si="0"/>
        <v>1062049.49</v>
      </c>
      <c r="G18" s="7">
        <f t="shared" si="1"/>
        <v>251280.54000000004</v>
      </c>
      <c r="H18" s="7">
        <v>275124.46999999997</v>
      </c>
      <c r="I18" s="7">
        <v>993978.56999999983</v>
      </c>
      <c r="J18" s="7">
        <v>877186.24999999988</v>
      </c>
      <c r="K18" s="7">
        <f t="shared" si="2"/>
        <v>380196.0199999999</v>
      </c>
      <c r="L18" s="7">
        <v>263403.69999999995</v>
      </c>
      <c r="M18" s="8">
        <f t="shared" si="5"/>
        <v>1016092.0649999999</v>
      </c>
      <c r="N18" s="8">
        <f t="shared" si="6"/>
        <v>700353.78499999992</v>
      </c>
      <c r="O18" s="7">
        <f t="shared" si="3"/>
        <v>315738.27999999997</v>
      </c>
      <c r="P18" s="8">
        <f t="shared" si="4"/>
        <v>269264.08499999996</v>
      </c>
      <c r="Q18" s="44">
        <v>1103700</v>
      </c>
      <c r="R18" s="47">
        <f>933915.587745172-T18</f>
        <v>641434.58774517162</v>
      </c>
      <c r="S18" s="44">
        <f>169784.412254827+T18</f>
        <v>462265.41225482733</v>
      </c>
      <c r="T18" s="49">
        <v>292481.00000000035</v>
      </c>
      <c r="U18" s="149">
        <f t="shared" si="7"/>
        <v>169784.41225482698</v>
      </c>
      <c r="V18" s="51">
        <f t="shared" si="8"/>
        <v>214429.15136447496</v>
      </c>
      <c r="W18" s="42">
        <f t="shared" si="9"/>
        <v>-78051.848635525384</v>
      </c>
      <c r="X18" s="133">
        <f t="shared" si="10"/>
        <v>247836.26089035237</v>
      </c>
      <c r="Y18" s="51">
        <f t="shared" si="11"/>
        <v>156505.53198926427</v>
      </c>
      <c r="Z18" s="42">
        <f t="shared" si="12"/>
        <v>-135975.46801073608</v>
      </c>
      <c r="AA18" s="133">
        <f t="shared" si="13"/>
        <v>305759.88026556303</v>
      </c>
      <c r="AB18" s="51">
        <f t="shared" si="15"/>
        <v>440808.6360548425</v>
      </c>
      <c r="AC18" s="46">
        <f t="shared" si="16"/>
        <v>148327.63605484215</v>
      </c>
      <c r="AD18" s="133">
        <f t="shared" si="14"/>
        <v>21456.77619998483</v>
      </c>
      <c r="AE18" s="273"/>
      <c r="AF18" s="8"/>
      <c r="AG18" s="8"/>
      <c r="AH18" s="274"/>
      <c r="AK18" s="216"/>
      <c r="AQ18" s="8"/>
      <c r="BA18" s="187" t="s">
        <v>55</v>
      </c>
      <c r="BB18" s="202">
        <f t="shared" si="17"/>
        <v>2300900.0000000037</v>
      </c>
      <c r="BC18" s="202">
        <f t="shared" si="18"/>
        <v>633482.99999999965</v>
      </c>
      <c r="BD18" s="203"/>
      <c r="BE18" s="204"/>
      <c r="BF18" s="202">
        <f t="shared" si="19"/>
        <v>447023.67887516646</v>
      </c>
      <c r="BG18" s="203"/>
      <c r="BH18" s="202">
        <f t="shared" si="20"/>
        <v>-186459.32112483319</v>
      </c>
      <c r="BI18" s="203"/>
      <c r="BJ18" s="250" t="s">
        <v>176</v>
      </c>
      <c r="BK18" s="176" t="s">
        <v>203</v>
      </c>
      <c r="BP18" s="187" t="s">
        <v>55</v>
      </c>
      <c r="BQ18" s="183">
        <f t="shared" si="21"/>
        <v>2180704.9804648506</v>
      </c>
      <c r="BR18" s="183">
        <f t="shared" si="22"/>
        <v>633482.99999999965</v>
      </c>
      <c r="BS18" s="166"/>
      <c r="BT18" s="184"/>
      <c r="BU18" s="183">
        <f t="shared" si="23"/>
        <v>532076.69121652946</v>
      </c>
      <c r="BV18" s="166"/>
      <c r="BW18" s="183">
        <f t="shared" si="24"/>
        <v>-101406.30878347019</v>
      </c>
      <c r="BX18" s="166"/>
      <c r="BY18" s="250" t="s">
        <v>176</v>
      </c>
      <c r="BZ18" s="176" t="s">
        <v>203</v>
      </c>
      <c r="CA18" s="253" t="s">
        <v>55</v>
      </c>
      <c r="CB18" s="229">
        <f t="shared" si="25"/>
        <v>120195.01953515463</v>
      </c>
      <c r="CC18" s="229">
        <f t="shared" si="26"/>
        <v>633482.99999999965</v>
      </c>
      <c r="CD18" s="186"/>
      <c r="CE18" s="230"/>
      <c r="CF18" s="229">
        <f t="shared" si="27"/>
        <v>114615.97865052766</v>
      </c>
      <c r="CG18" s="186"/>
      <c r="CH18" s="229">
        <f t="shared" si="28"/>
        <v>-518867.02134947199</v>
      </c>
      <c r="CI18" s="186"/>
      <c r="CJ18" s="231" t="s">
        <v>176</v>
      </c>
      <c r="CK18" s="284" t="s">
        <v>204</v>
      </c>
      <c r="CL18" s="286"/>
      <c r="CM18" s="8"/>
      <c r="CN18" s="8"/>
      <c r="CQ18" s="8"/>
      <c r="CS18" s="8"/>
      <c r="CU18" s="287"/>
      <c r="CV18" s="268"/>
    </row>
    <row r="19" spans="1:100" x14ac:dyDescent="0.3">
      <c r="A19" s="4" t="s">
        <v>18</v>
      </c>
      <c r="B19" s="4" t="s">
        <v>60</v>
      </c>
      <c r="C19" s="7">
        <v>513558.54000000004</v>
      </c>
      <c r="D19" s="7">
        <v>409304.28999999992</v>
      </c>
      <c r="E19" s="7">
        <v>-11702</v>
      </c>
      <c r="F19" s="7">
        <f t="shared" si="0"/>
        <v>421006.28999999992</v>
      </c>
      <c r="G19" s="7">
        <f t="shared" si="1"/>
        <v>228645.26000000013</v>
      </c>
      <c r="H19" s="7">
        <v>136093.01</v>
      </c>
      <c r="I19" s="7">
        <v>403075.94999999995</v>
      </c>
      <c r="J19" s="7">
        <v>386986.05</v>
      </c>
      <c r="K19" s="7">
        <f t="shared" si="2"/>
        <v>122905.03999999996</v>
      </c>
      <c r="L19" s="7">
        <v>106815.14</v>
      </c>
      <c r="M19" s="8">
        <f t="shared" si="5"/>
        <v>458317.245</v>
      </c>
      <c r="N19" s="8">
        <f t="shared" si="6"/>
        <v>282542.09499999991</v>
      </c>
      <c r="O19" s="7">
        <f t="shared" si="3"/>
        <v>175775.15000000005</v>
      </c>
      <c r="P19" s="8">
        <f t="shared" si="4"/>
        <v>121454.07500000001</v>
      </c>
      <c r="Q19" s="44">
        <v>482997</v>
      </c>
      <c r="R19" s="47">
        <f>452943.185306707-T19</f>
        <v>324949.18530670699</v>
      </c>
      <c r="S19" s="44">
        <f>30053.8146932931+T19</f>
        <v>158047.8146932931</v>
      </c>
      <c r="T19" s="49">
        <v>127994</v>
      </c>
      <c r="U19" s="149">
        <f t="shared" si="7"/>
        <v>30053.814693293098</v>
      </c>
      <c r="V19" s="51">
        <f t="shared" si="8"/>
        <v>93837.67040100327</v>
      </c>
      <c r="W19" s="42">
        <f t="shared" si="9"/>
        <v>-34156.32959899673</v>
      </c>
      <c r="X19" s="133">
        <f t="shared" si="10"/>
        <v>64210.144292289828</v>
      </c>
      <c r="Y19" s="51">
        <f t="shared" si="11"/>
        <v>79285.317766662658</v>
      </c>
      <c r="Z19" s="42">
        <f t="shared" si="12"/>
        <v>-48708.682233337342</v>
      </c>
      <c r="AA19" s="133">
        <f t="shared" si="13"/>
        <v>78762.49692663044</v>
      </c>
      <c r="AB19" s="51">
        <f t="shared" si="15"/>
        <v>150711.77678332018</v>
      </c>
      <c r="AC19" s="46">
        <f t="shared" si="16"/>
        <v>22717.77678332018</v>
      </c>
      <c r="AD19" s="133">
        <f t="shared" si="14"/>
        <v>7336.037909972918</v>
      </c>
      <c r="AE19" s="273"/>
      <c r="AF19" s="8"/>
      <c r="AG19" s="8"/>
      <c r="AH19" s="274"/>
      <c r="AK19" s="216"/>
      <c r="AQ19" s="8"/>
      <c r="BA19" s="187" t="s">
        <v>56</v>
      </c>
      <c r="BB19" s="202">
        <f t="shared" si="17"/>
        <v>4440713</v>
      </c>
      <c r="BC19" s="202">
        <f t="shared" si="18"/>
        <v>1176789</v>
      </c>
      <c r="BD19" s="203"/>
      <c r="BE19" s="204"/>
      <c r="BF19" s="202">
        <f t="shared" si="19"/>
        <v>862751.03745872225</v>
      </c>
      <c r="BG19" s="203"/>
      <c r="BH19" s="202">
        <f t="shared" si="20"/>
        <v>-314037.96254127775</v>
      </c>
      <c r="BI19" s="203"/>
      <c r="BJ19" s="250" t="s">
        <v>176</v>
      </c>
      <c r="BK19" s="176" t="s">
        <v>183</v>
      </c>
      <c r="BP19" s="187" t="s">
        <v>56</v>
      </c>
      <c r="BQ19" s="183">
        <f t="shared" si="21"/>
        <v>2440069.0649998402</v>
      </c>
      <c r="BR19" s="183">
        <f t="shared" si="22"/>
        <v>1176789</v>
      </c>
      <c r="BS19" s="166"/>
      <c r="BT19" s="184"/>
      <c r="BU19" s="183">
        <f t="shared" si="23"/>
        <v>595359.70526750141</v>
      </c>
      <c r="BV19" s="166"/>
      <c r="BW19" s="183">
        <f t="shared" si="24"/>
        <v>-581429.29473249859</v>
      </c>
      <c r="BX19" s="166"/>
      <c r="BY19" s="250" t="s">
        <v>176</v>
      </c>
      <c r="BZ19" s="176" t="s">
        <v>183</v>
      </c>
      <c r="CA19" s="253" t="s">
        <v>56</v>
      </c>
      <c r="CB19" s="229">
        <f t="shared" si="25"/>
        <v>2000643.9350001551</v>
      </c>
      <c r="CC19" s="229">
        <f t="shared" si="26"/>
        <v>1176789</v>
      </c>
      <c r="CD19" s="186"/>
      <c r="CE19" s="230"/>
      <c r="CF19" s="229">
        <f t="shared" si="27"/>
        <v>1907780.899974962</v>
      </c>
      <c r="CG19" s="186"/>
      <c r="CH19" s="229">
        <f t="shared" si="28"/>
        <v>730991.899974962</v>
      </c>
      <c r="CI19" s="186"/>
      <c r="CJ19" s="231" t="s">
        <v>176</v>
      </c>
      <c r="CK19" s="284" t="s">
        <v>183</v>
      </c>
      <c r="CL19" s="286"/>
      <c r="CM19" s="8"/>
      <c r="CN19" s="8"/>
      <c r="CQ19" s="8"/>
      <c r="CS19" s="8"/>
      <c r="CU19" s="287"/>
      <c r="CV19" s="268"/>
    </row>
    <row r="20" spans="1:100" x14ac:dyDescent="0.3">
      <c r="A20" s="4" t="s">
        <v>61</v>
      </c>
      <c r="B20" s="4" t="s">
        <v>43</v>
      </c>
      <c r="C20" s="7">
        <v>3773730.67</v>
      </c>
      <c r="D20" s="7">
        <v>2946625.5300000003</v>
      </c>
      <c r="E20" s="7">
        <v>-73725</v>
      </c>
      <c r="F20" s="7">
        <f t="shared" si="0"/>
        <v>3020350.5300000003</v>
      </c>
      <c r="G20" s="7">
        <f t="shared" si="1"/>
        <v>1508959.21</v>
      </c>
      <c r="H20" s="7">
        <v>755579.07000000018</v>
      </c>
      <c r="I20" s="7">
        <v>853639.72</v>
      </c>
      <c r="J20" s="7">
        <v>960754.2100000002</v>
      </c>
      <c r="K20" s="7">
        <f t="shared" si="2"/>
        <v>-76665.290000000226</v>
      </c>
      <c r="L20" s="7">
        <v>30449.200000000001</v>
      </c>
      <c r="M20" s="8">
        <f t="shared" si="5"/>
        <v>2313685.1949999998</v>
      </c>
      <c r="N20" s="8">
        <f t="shared" si="6"/>
        <v>1597538.2350000001</v>
      </c>
      <c r="O20" s="7">
        <f t="shared" si="3"/>
        <v>716146.95999999985</v>
      </c>
      <c r="P20" s="8">
        <f t="shared" si="4"/>
        <v>393014.13500000007</v>
      </c>
      <c r="Q20" s="44">
        <v>3935937.0000000056</v>
      </c>
      <c r="R20" s="47">
        <f>3323164.56223305-T20</f>
        <v>2543063.0622330494</v>
      </c>
      <c r="S20" s="44">
        <f>612772.437766959+T20</f>
        <v>1392873.9377669592</v>
      </c>
      <c r="T20" s="49">
        <v>780101.50000000023</v>
      </c>
      <c r="U20" s="149">
        <f t="shared" si="7"/>
        <v>612772.43776695896</v>
      </c>
      <c r="V20" s="51">
        <f t="shared" si="8"/>
        <v>764682.09724928753</v>
      </c>
      <c r="W20" s="42">
        <f t="shared" si="9"/>
        <v>-15419.402750712703</v>
      </c>
      <c r="X20" s="133">
        <f t="shared" si="10"/>
        <v>628191.84051767166</v>
      </c>
      <c r="Y20" s="51">
        <f t="shared" si="11"/>
        <v>620489.51684399846</v>
      </c>
      <c r="Z20" s="42">
        <f t="shared" si="12"/>
        <v>-159611.98315600178</v>
      </c>
      <c r="AA20" s="133">
        <f t="shared" si="13"/>
        <v>772384.42092296074</v>
      </c>
      <c r="AB20" s="51">
        <f t="shared" si="15"/>
        <v>1328221.5031154519</v>
      </c>
      <c r="AC20" s="46">
        <f t="shared" si="16"/>
        <v>548120.00311545166</v>
      </c>
      <c r="AD20" s="133">
        <f t="shared" si="14"/>
        <v>64652.434651507298</v>
      </c>
      <c r="AE20" s="273"/>
      <c r="AF20" s="8"/>
      <c r="AG20" s="8"/>
      <c r="AH20" s="274"/>
      <c r="AK20" s="216"/>
      <c r="AQ20" s="8"/>
      <c r="AY20" s="8"/>
      <c r="BA20" s="187" t="s">
        <v>57</v>
      </c>
      <c r="BB20" s="202">
        <f t="shared" si="17"/>
        <v>817699.99000000011</v>
      </c>
      <c r="BC20" s="202">
        <f t="shared" si="18"/>
        <v>216691</v>
      </c>
      <c r="BD20" s="203"/>
      <c r="BE20" s="204"/>
      <c r="BF20" s="202">
        <f t="shared" si="19"/>
        <v>158864.46944499383</v>
      </c>
      <c r="BG20" s="203"/>
      <c r="BH20" s="202">
        <f t="shared" si="20"/>
        <v>-57826.530555006175</v>
      </c>
      <c r="BI20" s="203"/>
      <c r="BJ20" s="250" t="s">
        <v>176</v>
      </c>
      <c r="BK20" s="176" t="s">
        <v>184</v>
      </c>
      <c r="BP20" s="187" t="s">
        <v>57</v>
      </c>
      <c r="BQ20" s="183">
        <f t="shared" si="21"/>
        <v>598424.82757491595</v>
      </c>
      <c r="BR20" s="183">
        <f t="shared" si="22"/>
        <v>216691</v>
      </c>
      <c r="BS20" s="166"/>
      <c r="BT20" s="184"/>
      <c r="BU20" s="183">
        <f t="shared" si="23"/>
        <v>146011.45274131026</v>
      </c>
      <c r="BV20" s="166"/>
      <c r="BW20" s="183">
        <f t="shared" si="24"/>
        <v>-70679.547258689738</v>
      </c>
      <c r="BX20" s="166"/>
      <c r="BY20" s="250" t="s">
        <v>176</v>
      </c>
      <c r="BZ20" s="176" t="s">
        <v>184</v>
      </c>
      <c r="CA20" s="253" t="s">
        <v>57</v>
      </c>
      <c r="CB20" s="229">
        <f t="shared" si="25"/>
        <v>219275.16242508375</v>
      </c>
      <c r="CC20" s="229">
        <f t="shared" si="26"/>
        <v>216691</v>
      </c>
      <c r="CD20" s="186"/>
      <c r="CE20" s="230"/>
      <c r="CF20" s="229">
        <f t="shared" si="27"/>
        <v>209097.16086658358</v>
      </c>
      <c r="CG20" s="186"/>
      <c r="CH20" s="229">
        <f t="shared" si="28"/>
        <v>-7593.8391334164189</v>
      </c>
      <c r="CI20" s="186"/>
      <c r="CJ20" s="231" t="s">
        <v>176</v>
      </c>
      <c r="CK20" s="284" t="s">
        <v>184</v>
      </c>
      <c r="CL20" s="286"/>
      <c r="CM20" s="8"/>
      <c r="CN20" s="8"/>
      <c r="CQ20" s="8"/>
      <c r="CS20" s="8"/>
      <c r="CU20" s="287"/>
      <c r="CV20" s="268"/>
    </row>
    <row r="21" spans="1:100" x14ac:dyDescent="0.3">
      <c r="A21" s="4" t="s">
        <v>61</v>
      </c>
      <c r="B21" s="4" t="s">
        <v>62</v>
      </c>
      <c r="C21" s="7">
        <v>2086386.6400000004</v>
      </c>
      <c r="D21" s="7">
        <v>2235576.3899999997</v>
      </c>
      <c r="E21" s="7">
        <v>-133958</v>
      </c>
      <c r="F21" s="7">
        <f t="shared" si="0"/>
        <v>2369534.3899999997</v>
      </c>
      <c r="G21" s="7">
        <f t="shared" si="1"/>
        <v>-85752.909999999276</v>
      </c>
      <c r="H21" s="7">
        <v>197394.84000000003</v>
      </c>
      <c r="I21" s="7">
        <v>4094241.17</v>
      </c>
      <c r="J21" s="7">
        <v>3685105.5400000005</v>
      </c>
      <c r="K21" s="7">
        <f t="shared" si="2"/>
        <v>973742.58999999939</v>
      </c>
      <c r="L21" s="7">
        <v>564606.96</v>
      </c>
      <c r="M21" s="8">
        <f t="shared" si="5"/>
        <v>3090313.9050000003</v>
      </c>
      <c r="N21" s="8">
        <f t="shared" si="6"/>
        <v>2646319.0649999999</v>
      </c>
      <c r="O21" s="7">
        <f t="shared" si="3"/>
        <v>443994.84000000008</v>
      </c>
      <c r="P21" s="8">
        <f t="shared" si="4"/>
        <v>381000.9</v>
      </c>
      <c r="Q21" s="44">
        <v>2281788.9999999995</v>
      </c>
      <c r="R21" s="47">
        <f>2788124.4227692-T21</f>
        <v>2540425.4227692001</v>
      </c>
      <c r="S21" s="44">
        <f>-506335.422769204+T21</f>
        <v>-258636.4227692039</v>
      </c>
      <c r="T21" s="49">
        <v>247699.00000000012</v>
      </c>
      <c r="U21" s="149">
        <f t="shared" si="7"/>
        <v>-506335.42276920401</v>
      </c>
      <c r="V21" s="51">
        <f t="shared" si="8"/>
        <v>443310.75370371825</v>
      </c>
      <c r="W21" s="42">
        <f t="shared" si="9"/>
        <v>195611.75370371813</v>
      </c>
      <c r="X21" s="133">
        <f t="shared" si="10"/>
        <v>-701947.17647292209</v>
      </c>
      <c r="Y21" s="51">
        <f t="shared" si="11"/>
        <v>619845.95134975726</v>
      </c>
      <c r="Z21" s="42">
        <f t="shared" si="12"/>
        <v>372146.95134975715</v>
      </c>
      <c r="AA21" s="133">
        <f t="shared" si="13"/>
        <v>-878482.37411896116</v>
      </c>
      <c r="AB21" s="52">
        <v>0</v>
      </c>
      <c r="AC21" s="46">
        <f>-(T21-AB21)</f>
        <v>-247699.00000000012</v>
      </c>
      <c r="AD21" s="133">
        <f t="shared" si="14"/>
        <v>-258636.4227692039</v>
      </c>
      <c r="AE21" s="275"/>
      <c r="AF21" s="276"/>
      <c r="AG21" s="8"/>
      <c r="AH21" s="274"/>
      <c r="AK21" s="216"/>
      <c r="AQ21" s="8"/>
      <c r="BA21" s="187" t="s">
        <v>58</v>
      </c>
      <c r="BB21" s="202">
        <f t="shared" si="17"/>
        <v>1103700</v>
      </c>
      <c r="BC21" s="202">
        <f t="shared" si="18"/>
        <v>292481.00000000035</v>
      </c>
      <c r="BD21" s="203"/>
      <c r="BE21" s="204"/>
      <c r="BF21" s="202">
        <f t="shared" si="19"/>
        <v>214429.15136447496</v>
      </c>
      <c r="BG21" s="203"/>
      <c r="BH21" s="202">
        <f t="shared" si="20"/>
        <v>-78051.848635525384</v>
      </c>
      <c r="BI21" s="203"/>
      <c r="BJ21" s="250" t="s">
        <v>176</v>
      </c>
      <c r="BK21" s="176" t="s">
        <v>185</v>
      </c>
      <c r="BP21" s="187" t="s">
        <v>58</v>
      </c>
      <c r="BQ21" s="183">
        <f t="shared" si="21"/>
        <v>641434.58774517162</v>
      </c>
      <c r="BR21" s="183">
        <f t="shared" si="22"/>
        <v>292481.00000000035</v>
      </c>
      <c r="BS21" s="166"/>
      <c r="BT21" s="184"/>
      <c r="BU21" s="183">
        <f t="shared" si="23"/>
        <v>156505.53198926427</v>
      </c>
      <c r="BV21" s="166"/>
      <c r="BW21" s="183">
        <f t="shared" si="24"/>
        <v>-135975.46801073608</v>
      </c>
      <c r="BX21" s="166"/>
      <c r="BY21" s="250" t="s">
        <v>176</v>
      </c>
      <c r="BZ21" s="176" t="s">
        <v>185</v>
      </c>
      <c r="CA21" s="253" t="s">
        <v>58</v>
      </c>
      <c r="CB21" s="229">
        <f t="shared" si="25"/>
        <v>462265.41225482733</v>
      </c>
      <c r="CC21" s="229">
        <f t="shared" si="26"/>
        <v>292481.00000000035</v>
      </c>
      <c r="CD21" s="186"/>
      <c r="CE21" s="230"/>
      <c r="CF21" s="229">
        <f t="shared" si="27"/>
        <v>440808.6360548425</v>
      </c>
      <c r="CG21" s="186"/>
      <c r="CH21" s="229">
        <f t="shared" si="28"/>
        <v>148327.63605484215</v>
      </c>
      <c r="CI21" s="186"/>
      <c r="CJ21" s="231" t="s">
        <v>176</v>
      </c>
      <c r="CK21" s="284" t="s">
        <v>185</v>
      </c>
      <c r="CL21" s="286"/>
      <c r="CM21" s="8"/>
      <c r="CN21" s="8"/>
      <c r="CQ21" s="8"/>
      <c r="CS21" s="8"/>
      <c r="CU21" s="287"/>
      <c r="CV21" s="268"/>
    </row>
    <row r="22" spans="1:100" x14ac:dyDescent="0.3">
      <c r="A22" s="4" t="s">
        <v>61</v>
      </c>
      <c r="B22" s="4" t="s">
        <v>63</v>
      </c>
      <c r="C22" s="7">
        <v>2314050.2599999998</v>
      </c>
      <c r="D22" s="7">
        <v>2159568.59</v>
      </c>
      <c r="E22" s="7">
        <v>-153049</v>
      </c>
      <c r="F22" s="7">
        <f t="shared" si="0"/>
        <v>2312617.59</v>
      </c>
      <c r="G22" s="7">
        <f t="shared" si="1"/>
        <v>308044.30999999994</v>
      </c>
      <c r="H22" s="7">
        <v>306611.64</v>
      </c>
      <c r="I22" s="7">
        <v>2175758.2799999998</v>
      </c>
      <c r="J22" s="7">
        <v>2259407.4399999995</v>
      </c>
      <c r="K22" s="7">
        <f t="shared" si="2"/>
        <v>120661.87000000032</v>
      </c>
      <c r="L22" s="7">
        <v>204311.03</v>
      </c>
      <c r="M22" s="8">
        <f t="shared" si="5"/>
        <v>2244904.2699999996</v>
      </c>
      <c r="N22" s="8">
        <f t="shared" si="6"/>
        <v>2030551.1799999997</v>
      </c>
      <c r="O22" s="7">
        <f t="shared" si="3"/>
        <v>214353.09000000014</v>
      </c>
      <c r="P22" s="8">
        <f t="shared" si="4"/>
        <v>255461.33500000002</v>
      </c>
      <c r="Q22" s="44">
        <v>2356295.0000000014</v>
      </c>
      <c r="R22" s="47">
        <f>2329930.01006919-T22</f>
        <v>2017986.0100691901</v>
      </c>
      <c r="S22" s="44">
        <f>26364.9899308154+T22</f>
        <v>338308.98993081541</v>
      </c>
      <c r="T22" s="49">
        <v>311944</v>
      </c>
      <c r="U22" s="149">
        <f t="shared" si="7"/>
        <v>26364.989930815413</v>
      </c>
      <c r="V22" s="51">
        <f t="shared" si="8"/>
        <v>457785.9356839321</v>
      </c>
      <c r="W22" s="42">
        <f t="shared" si="9"/>
        <v>145841.9356839321</v>
      </c>
      <c r="X22" s="133">
        <f t="shared" si="10"/>
        <v>-119476.94575311668</v>
      </c>
      <c r="Y22" s="51">
        <f t="shared" si="11"/>
        <v>492374.40588134038</v>
      </c>
      <c r="Z22" s="42">
        <f t="shared" si="12"/>
        <v>180430.40588134038</v>
      </c>
      <c r="AA22" s="133">
        <f t="shared" si="13"/>
        <v>-154065.41595052497</v>
      </c>
      <c r="AB22" s="51">
        <f t="shared" ref="AB22:AB29" si="29">(S22*$O$52)</f>
        <v>322605.84604215511</v>
      </c>
      <c r="AC22" s="46">
        <f t="shared" ref="AC22:AC29" si="30">AB22-T22</f>
        <v>10661.846042155114</v>
      </c>
      <c r="AD22" s="133">
        <f t="shared" si="14"/>
        <v>15703.143888660299</v>
      </c>
      <c r="AE22" s="273"/>
      <c r="AF22" s="8"/>
      <c r="AG22" s="8"/>
      <c r="AH22" s="274"/>
      <c r="AK22" s="216"/>
      <c r="AQ22" s="8"/>
      <c r="BA22" s="187" t="s">
        <v>60</v>
      </c>
      <c r="BB22" s="202">
        <f t="shared" si="17"/>
        <v>482997</v>
      </c>
      <c r="BC22" s="202">
        <f t="shared" si="18"/>
        <v>127994</v>
      </c>
      <c r="BD22" s="203"/>
      <c r="BE22" s="204"/>
      <c r="BF22" s="202">
        <f t="shared" si="19"/>
        <v>93837.67040100327</v>
      </c>
      <c r="BG22" s="203"/>
      <c r="BH22" s="202">
        <f t="shared" si="20"/>
        <v>-34156.32959899673</v>
      </c>
      <c r="BI22" s="203"/>
      <c r="BJ22" s="250" t="s">
        <v>176</v>
      </c>
      <c r="BK22" s="176" t="s">
        <v>186</v>
      </c>
      <c r="BP22" s="187" t="s">
        <v>60</v>
      </c>
      <c r="BQ22" s="183">
        <f t="shared" si="21"/>
        <v>324949.18530670699</v>
      </c>
      <c r="BR22" s="183">
        <f t="shared" si="22"/>
        <v>127994</v>
      </c>
      <c r="BS22" s="166"/>
      <c r="BT22" s="184"/>
      <c r="BU22" s="183">
        <f t="shared" si="23"/>
        <v>79285.317766662658</v>
      </c>
      <c r="BV22" s="166"/>
      <c r="BW22" s="183">
        <f t="shared" si="24"/>
        <v>-48708.682233337342</v>
      </c>
      <c r="BX22" s="166"/>
      <c r="BY22" s="250" t="s">
        <v>176</v>
      </c>
      <c r="BZ22" s="176" t="s">
        <v>192</v>
      </c>
      <c r="CA22" s="253" t="s">
        <v>60</v>
      </c>
      <c r="CB22" s="229">
        <f t="shared" si="25"/>
        <v>158047.8146932931</v>
      </c>
      <c r="CC22" s="229">
        <f t="shared" si="26"/>
        <v>127994</v>
      </c>
      <c r="CD22" s="186"/>
      <c r="CE22" s="230"/>
      <c r="CF22" s="229">
        <f t="shared" si="27"/>
        <v>150711.77678332018</v>
      </c>
      <c r="CG22" s="186"/>
      <c r="CH22" s="229">
        <f t="shared" si="28"/>
        <v>22717.77678332018</v>
      </c>
      <c r="CI22" s="186"/>
      <c r="CJ22" s="231" t="s">
        <v>176</v>
      </c>
      <c r="CK22" s="284" t="s">
        <v>192</v>
      </c>
      <c r="CL22" s="286"/>
      <c r="CM22" s="8"/>
      <c r="CN22" s="8"/>
      <c r="CQ22" s="8"/>
      <c r="CS22" s="8"/>
      <c r="CU22" s="287"/>
      <c r="CV22" s="268"/>
    </row>
    <row r="23" spans="1:100" ht="15" thickBot="1" x14ac:dyDescent="0.35">
      <c r="A23" s="4" t="s">
        <v>61</v>
      </c>
      <c r="B23" s="4" t="s">
        <v>64</v>
      </c>
      <c r="C23" s="7">
        <v>1285617.9599999995</v>
      </c>
      <c r="D23" s="7">
        <v>1250819.18</v>
      </c>
      <c r="E23" s="7">
        <v>-49925</v>
      </c>
      <c r="F23" s="7">
        <f t="shared" si="0"/>
        <v>1300744.18</v>
      </c>
      <c r="G23" s="7">
        <f t="shared" si="1"/>
        <v>199304.15999999957</v>
      </c>
      <c r="H23" s="7">
        <v>214430.38</v>
      </c>
      <c r="I23" s="7">
        <v>503287.18</v>
      </c>
      <c r="J23" s="7">
        <v>604052.87</v>
      </c>
      <c r="K23" s="7">
        <f t="shared" si="2"/>
        <v>-95428.11</v>
      </c>
      <c r="L23" s="7">
        <v>5337.5800000000008</v>
      </c>
      <c r="M23" s="8">
        <f t="shared" si="5"/>
        <v>894452.56999999972</v>
      </c>
      <c r="N23" s="8">
        <f t="shared" si="6"/>
        <v>842514.54499999993</v>
      </c>
      <c r="O23" s="7">
        <f t="shared" si="3"/>
        <v>51938.024999999783</v>
      </c>
      <c r="P23" s="8">
        <f t="shared" si="4"/>
        <v>109883.98</v>
      </c>
      <c r="Q23" s="44">
        <v>1729411</v>
      </c>
      <c r="R23" s="47">
        <f>1657240.58925269-T23</f>
        <v>1356095.5892526901</v>
      </c>
      <c r="S23" s="44">
        <f>72170.4107473132+T23</f>
        <v>373315.41074731317</v>
      </c>
      <c r="T23" s="49">
        <v>301145</v>
      </c>
      <c r="U23" s="149">
        <f t="shared" si="7"/>
        <v>72170.410747313173</v>
      </c>
      <c r="V23" s="51">
        <f t="shared" si="8"/>
        <v>335993.59707383165</v>
      </c>
      <c r="W23" s="42">
        <f t="shared" si="9"/>
        <v>34848.597073831654</v>
      </c>
      <c r="X23" s="133">
        <f t="shared" si="10"/>
        <v>37321.81367348152</v>
      </c>
      <c r="Y23" s="51">
        <f t="shared" si="11"/>
        <v>330877.79436771519</v>
      </c>
      <c r="Z23" s="42">
        <f t="shared" si="12"/>
        <v>29732.794367715192</v>
      </c>
      <c r="AA23" s="133">
        <f t="shared" si="13"/>
        <v>42437.616379597981</v>
      </c>
      <c r="AB23" s="51">
        <f t="shared" si="29"/>
        <v>355987.38877539273</v>
      </c>
      <c r="AC23" s="46">
        <f t="shared" si="30"/>
        <v>54842.388775392727</v>
      </c>
      <c r="AD23" s="133">
        <f t="shared" si="14"/>
        <v>17328.021971920447</v>
      </c>
      <c r="AE23" s="273"/>
      <c r="AF23" s="8"/>
      <c r="AG23" s="8"/>
      <c r="AH23" s="274"/>
      <c r="AK23" s="216"/>
      <c r="AQ23" s="8"/>
      <c r="BA23" s="187" t="s">
        <v>43</v>
      </c>
      <c r="BB23" s="202">
        <f t="shared" si="17"/>
        <v>3935937.0000000056</v>
      </c>
      <c r="BC23" s="202">
        <f t="shared" si="18"/>
        <v>780101.50000000023</v>
      </c>
      <c r="BD23" s="203"/>
      <c r="BE23" s="204"/>
      <c r="BF23" s="202">
        <f t="shared" si="19"/>
        <v>764682.09724928753</v>
      </c>
      <c r="BG23" s="203"/>
      <c r="BH23" s="202">
        <f t="shared" si="20"/>
        <v>-15419.402750712703</v>
      </c>
      <c r="BI23" s="203"/>
      <c r="BJ23" s="251">
        <f>((O20-P20)*0.25)*$BN$51</f>
        <v>1830344.8305728352</v>
      </c>
      <c r="BK23" s="180" t="s">
        <v>187</v>
      </c>
      <c r="BP23" s="187" t="s">
        <v>43</v>
      </c>
      <c r="BQ23" s="183">
        <f t="shared" si="21"/>
        <v>2543063.0622330494</v>
      </c>
      <c r="BR23" s="183">
        <f t="shared" si="22"/>
        <v>780101.50000000023</v>
      </c>
      <c r="BS23" s="166"/>
      <c r="BT23" s="184"/>
      <c r="BU23" s="183">
        <f t="shared" si="23"/>
        <v>620489.51684399846</v>
      </c>
      <c r="BV23" s="166"/>
      <c r="BW23" s="183">
        <f t="shared" si="24"/>
        <v>-159611.98315600178</v>
      </c>
      <c r="BX23" s="166"/>
      <c r="BY23" s="251">
        <f>((O20-P20)*0.25)*$BN$51</f>
        <v>1830344.8305728352</v>
      </c>
      <c r="BZ23" s="180" t="s">
        <v>187</v>
      </c>
      <c r="CA23" s="253" t="s">
        <v>43</v>
      </c>
      <c r="CB23" s="229">
        <f t="shared" si="25"/>
        <v>1392873.9377669592</v>
      </c>
      <c r="CC23" s="229">
        <f t="shared" si="26"/>
        <v>780101.50000000023</v>
      </c>
      <c r="CD23" s="186"/>
      <c r="CE23" s="230"/>
      <c r="CF23" s="229">
        <f t="shared" si="27"/>
        <v>1328221.5031154519</v>
      </c>
      <c r="CG23" s="186"/>
      <c r="CH23" s="229">
        <f t="shared" si="28"/>
        <v>548120.00311545166</v>
      </c>
      <c r="CI23" s="186"/>
      <c r="CJ23" s="232">
        <f>((O20-P20)*0.25)*$BN$51</f>
        <v>1830344.8305728352</v>
      </c>
      <c r="CK23" s="249" t="s">
        <v>187</v>
      </c>
      <c r="CL23" s="286"/>
      <c r="CM23" s="8"/>
      <c r="CN23" s="8"/>
      <c r="CQ23" s="8"/>
      <c r="CS23" s="8"/>
      <c r="CU23" s="209"/>
      <c r="CV23" s="268"/>
    </row>
    <row r="24" spans="1:100" x14ac:dyDescent="0.3">
      <c r="A24" s="4" t="s">
        <v>61</v>
      </c>
      <c r="B24" s="4" t="s">
        <v>66</v>
      </c>
      <c r="C24" s="7">
        <v>302335.21000000002</v>
      </c>
      <c r="D24" s="7">
        <v>267480.79000000004</v>
      </c>
      <c r="E24" s="7">
        <v>-27046.400000000001</v>
      </c>
      <c r="F24" s="7">
        <f t="shared" si="0"/>
        <v>294527.19000000006</v>
      </c>
      <c r="G24" s="7">
        <f t="shared" si="1"/>
        <v>23692.509999999958</v>
      </c>
      <c r="H24" s="7">
        <v>15884.489999999998</v>
      </c>
      <c r="I24" s="7">
        <v>273730.01000000007</v>
      </c>
      <c r="J24" s="7">
        <v>240182.75999999998</v>
      </c>
      <c r="K24" s="7">
        <f t="shared" si="2"/>
        <v>45870.700000000084</v>
      </c>
      <c r="L24" s="7">
        <v>12323.45</v>
      </c>
      <c r="M24" s="8">
        <f t="shared" si="5"/>
        <v>288032.61000000004</v>
      </c>
      <c r="N24" s="8">
        <f t="shared" si="6"/>
        <v>253251.00500000003</v>
      </c>
      <c r="O24" s="7">
        <f t="shared" si="3"/>
        <v>34781.605000000025</v>
      </c>
      <c r="P24" s="8">
        <f t="shared" si="4"/>
        <v>14103.97</v>
      </c>
      <c r="Q24" s="44">
        <v>315315</v>
      </c>
      <c r="R24" s="47">
        <f>289073.741627594-T24</f>
        <v>275073.74162759393</v>
      </c>
      <c r="S24" s="44">
        <f>26241.258372406+T24</f>
        <v>40241.258372406039</v>
      </c>
      <c r="T24" s="49">
        <v>14000.000000000038</v>
      </c>
      <c r="U24" s="149">
        <f t="shared" si="7"/>
        <v>26241.258372406002</v>
      </c>
      <c r="V24" s="51">
        <f t="shared" si="8"/>
        <v>61260.059674267846</v>
      </c>
      <c r="W24" s="42">
        <f t="shared" si="9"/>
        <v>47260.05967426781</v>
      </c>
      <c r="X24" s="133">
        <f t="shared" si="10"/>
        <v>-21018.801301861808</v>
      </c>
      <c r="Y24" s="51">
        <f t="shared" si="11"/>
        <v>67116.059988344583</v>
      </c>
      <c r="Z24" s="42">
        <f t="shared" si="12"/>
        <v>53116.059988344547</v>
      </c>
      <c r="AA24" s="133">
        <f t="shared" si="13"/>
        <v>-26874.801615938544</v>
      </c>
      <c r="AB24" s="51">
        <f t="shared" si="29"/>
        <v>38373.39707019271</v>
      </c>
      <c r="AC24" s="46">
        <f t="shared" si="30"/>
        <v>24373.397070192674</v>
      </c>
      <c r="AD24" s="133">
        <f t="shared" si="14"/>
        <v>1867.8613022133286</v>
      </c>
      <c r="AE24" s="273"/>
      <c r="AF24" s="8"/>
      <c r="AG24" s="8"/>
      <c r="AH24" s="274"/>
      <c r="AK24" s="216"/>
      <c r="AQ24" s="8"/>
      <c r="BA24" s="187" t="s">
        <v>62</v>
      </c>
      <c r="BB24" s="202">
        <f t="shared" si="17"/>
        <v>2281788.9999999995</v>
      </c>
      <c r="BC24" s="202">
        <f t="shared" si="18"/>
        <v>247699.00000000012</v>
      </c>
      <c r="BD24" s="203"/>
      <c r="BE24" s="204"/>
      <c r="BF24" s="202">
        <f t="shared" si="19"/>
        <v>443310.75370371825</v>
      </c>
      <c r="BG24" s="203"/>
      <c r="BH24" s="202">
        <f t="shared" si="20"/>
        <v>195611.75370371813</v>
      </c>
      <c r="BI24" s="203"/>
      <c r="BJ24" s="206">
        <f t="shared" ref="BJ24:BJ32" si="31">((O21-P21)*0.25)*$BN$51</f>
        <v>356821.16924028232</v>
      </c>
      <c r="BK24" s="197"/>
      <c r="BP24" s="187" t="s">
        <v>62</v>
      </c>
      <c r="BQ24" s="183">
        <f t="shared" si="21"/>
        <v>2540425.4227692001</v>
      </c>
      <c r="BR24" s="183">
        <f t="shared" si="22"/>
        <v>247699.00000000012</v>
      </c>
      <c r="BS24" s="166"/>
      <c r="BT24" s="184"/>
      <c r="BU24" s="183">
        <f t="shared" si="23"/>
        <v>619845.95134975726</v>
      </c>
      <c r="BV24" s="166"/>
      <c r="BW24" s="183">
        <f t="shared" si="24"/>
        <v>372146.95134975715</v>
      </c>
      <c r="BX24" s="166"/>
      <c r="BY24" s="206">
        <f t="shared" ref="BY24:BY32" si="32">((O21-P21)*0.25)*$BN$51</f>
        <v>356821.16924028232</v>
      </c>
      <c r="BZ24" s="197"/>
      <c r="CA24" s="253" t="s">
        <v>62</v>
      </c>
      <c r="CB24" s="229">
        <f t="shared" si="25"/>
        <v>-258636.4227692039</v>
      </c>
      <c r="CC24" s="229">
        <f t="shared" si="26"/>
        <v>247699.00000000012</v>
      </c>
      <c r="CD24" s="186"/>
      <c r="CE24" s="230"/>
      <c r="CF24" s="229">
        <f t="shared" si="27"/>
        <v>0</v>
      </c>
      <c r="CG24" s="186"/>
      <c r="CH24" s="229">
        <f t="shared" si="28"/>
        <v>-247699.00000000012</v>
      </c>
      <c r="CI24" s="186"/>
      <c r="CJ24" s="254">
        <f t="shared" ref="CJ24:CJ32" si="33">((O21-P21)*0.25)*$BN$51</f>
        <v>356821.16924028232</v>
      </c>
      <c r="CK24" s="198"/>
      <c r="CL24" s="286"/>
      <c r="CM24" s="8"/>
      <c r="CN24" s="8"/>
      <c r="CQ24" s="276"/>
      <c r="CS24" s="8"/>
      <c r="CU24" s="209"/>
      <c r="CV24" s="268"/>
    </row>
    <row r="25" spans="1:100" x14ac:dyDescent="0.3">
      <c r="A25" s="4" t="s">
        <v>61</v>
      </c>
      <c r="B25" s="4" t="s">
        <v>67</v>
      </c>
      <c r="C25" s="7">
        <v>391845.7</v>
      </c>
      <c r="D25" s="7">
        <v>300552.34999999998</v>
      </c>
      <c r="E25" s="7">
        <v>-27093</v>
      </c>
      <c r="F25" s="7">
        <f t="shared" si="0"/>
        <v>327645.34999999998</v>
      </c>
      <c r="G25" s="7">
        <f t="shared" si="1"/>
        <v>87795.600000000035</v>
      </c>
      <c r="H25" s="7">
        <v>23595.249999999996</v>
      </c>
      <c r="I25" s="7">
        <v>404715.39999999997</v>
      </c>
      <c r="J25" s="7">
        <v>330669.89</v>
      </c>
      <c r="K25" s="7">
        <f t="shared" si="2"/>
        <v>93188.779999999955</v>
      </c>
      <c r="L25" s="7">
        <v>19143.27</v>
      </c>
      <c r="M25" s="8">
        <f t="shared" si="5"/>
        <v>398280.55</v>
      </c>
      <c r="N25" s="8">
        <f t="shared" si="6"/>
        <v>307788.36</v>
      </c>
      <c r="O25" s="7">
        <f t="shared" si="3"/>
        <v>90492.19</v>
      </c>
      <c r="P25" s="8">
        <f t="shared" si="4"/>
        <v>21369.26</v>
      </c>
      <c r="Q25" s="44">
        <v>467100</v>
      </c>
      <c r="R25" s="47">
        <f>359399.806866775-T25</f>
        <v>331519.80686677503</v>
      </c>
      <c r="S25" s="44">
        <f>107700.193133225+T25</f>
        <v>135580.19313322494</v>
      </c>
      <c r="T25" s="49">
        <v>27879.999999999953</v>
      </c>
      <c r="U25" s="149">
        <f t="shared" si="7"/>
        <v>107700.19313322498</v>
      </c>
      <c r="V25" s="51">
        <f t="shared" si="8"/>
        <v>90749.167891950943</v>
      </c>
      <c r="W25" s="42">
        <f t="shared" si="9"/>
        <v>62869.167891950987</v>
      </c>
      <c r="X25" s="133">
        <f t="shared" si="10"/>
        <v>44831.025241273994</v>
      </c>
      <c r="Y25" s="51">
        <f t="shared" si="11"/>
        <v>80888.503254949916</v>
      </c>
      <c r="Z25" s="42">
        <f t="shared" si="12"/>
        <v>53008.503254949959</v>
      </c>
      <c r="AA25" s="133">
        <f t="shared" si="13"/>
        <v>54691.689878275021</v>
      </c>
      <c r="AB25" s="51">
        <f t="shared" si="29"/>
        <v>129287.02521693995</v>
      </c>
      <c r="AC25" s="46">
        <f t="shared" si="30"/>
        <v>101407.02521693999</v>
      </c>
      <c r="AD25" s="133">
        <f t="shared" si="14"/>
        <v>6293.1679162849905</v>
      </c>
      <c r="AE25" s="273"/>
      <c r="AF25" s="8"/>
      <c r="AG25" s="8"/>
      <c r="AH25" s="274"/>
      <c r="AK25" s="216"/>
      <c r="AQ25" s="8"/>
      <c r="BA25" s="187" t="s">
        <v>63</v>
      </c>
      <c r="BB25" s="202">
        <f t="shared" si="17"/>
        <v>2356295.0000000014</v>
      </c>
      <c r="BC25" s="202">
        <f t="shared" si="18"/>
        <v>311944</v>
      </c>
      <c r="BD25" s="203"/>
      <c r="BE25" s="204"/>
      <c r="BF25" s="202">
        <f t="shared" si="19"/>
        <v>457785.9356839321</v>
      </c>
      <c r="BG25" s="203"/>
      <c r="BH25" s="202">
        <f t="shared" si="20"/>
        <v>145841.9356839321</v>
      </c>
      <c r="BI25" s="203"/>
      <c r="BJ25" s="262" t="s">
        <v>181</v>
      </c>
      <c r="BK25" s="197"/>
      <c r="BP25" s="187" t="s">
        <v>63</v>
      </c>
      <c r="BQ25" s="183">
        <f t="shared" si="21"/>
        <v>2017986.0100691901</v>
      </c>
      <c r="BR25" s="183">
        <f t="shared" si="22"/>
        <v>311944</v>
      </c>
      <c r="BS25" s="166"/>
      <c r="BT25" s="184"/>
      <c r="BU25" s="183">
        <f t="shared" si="23"/>
        <v>492374.40588134038</v>
      </c>
      <c r="BV25" s="166"/>
      <c r="BW25" s="183">
        <f t="shared" si="24"/>
        <v>180430.40588134038</v>
      </c>
      <c r="BX25" s="166"/>
      <c r="BY25" s="261" t="s">
        <v>181</v>
      </c>
      <c r="BZ25" s="197"/>
      <c r="CA25" s="253" t="s">
        <v>63</v>
      </c>
      <c r="CB25" s="229">
        <f t="shared" si="25"/>
        <v>338308.98993081541</v>
      </c>
      <c r="CC25" s="229">
        <f t="shared" si="26"/>
        <v>311944</v>
      </c>
      <c r="CD25" s="186"/>
      <c r="CE25" s="230"/>
      <c r="CF25" s="229">
        <f t="shared" si="27"/>
        <v>322605.84604215511</v>
      </c>
      <c r="CG25" s="186"/>
      <c r="CH25" s="229">
        <f t="shared" si="28"/>
        <v>10661.846042155114</v>
      </c>
      <c r="CI25" s="186"/>
      <c r="CJ25" s="262" t="s">
        <v>181</v>
      </c>
      <c r="CK25" s="198"/>
      <c r="CL25" s="286"/>
      <c r="CM25" s="8"/>
      <c r="CN25" s="8"/>
      <c r="CQ25" s="8"/>
      <c r="CS25" s="8"/>
      <c r="CU25" s="209"/>
      <c r="CV25" s="268"/>
    </row>
    <row r="26" spans="1:100" x14ac:dyDescent="0.3">
      <c r="A26" s="4" t="s">
        <v>61</v>
      </c>
      <c r="B26" s="4" t="s">
        <v>68</v>
      </c>
      <c r="C26" s="7">
        <v>2325914.6399999997</v>
      </c>
      <c r="D26" s="7">
        <v>1419222.19</v>
      </c>
      <c r="E26" s="7">
        <v>-71457</v>
      </c>
      <c r="F26" s="7">
        <f t="shared" si="0"/>
        <v>1490679.19</v>
      </c>
      <c r="G26" s="7">
        <f t="shared" si="1"/>
        <v>1108065.4199999997</v>
      </c>
      <c r="H26" s="7">
        <v>272829.97000000003</v>
      </c>
      <c r="I26" s="7">
        <v>1623125.4499999997</v>
      </c>
      <c r="J26" s="7">
        <v>1088001.53</v>
      </c>
      <c r="K26" s="7">
        <f t="shared" si="2"/>
        <v>732558.6799999997</v>
      </c>
      <c r="L26" s="7">
        <v>197434.76</v>
      </c>
      <c r="M26" s="8">
        <f t="shared" si="5"/>
        <v>1974520.0449999997</v>
      </c>
      <c r="N26" s="8">
        <f t="shared" si="6"/>
        <v>1054207.9949999999</v>
      </c>
      <c r="O26" s="7">
        <f t="shared" si="3"/>
        <v>920312.0499999997</v>
      </c>
      <c r="P26" s="8">
        <f t="shared" si="4"/>
        <v>235132.36500000002</v>
      </c>
      <c r="Q26" s="44">
        <v>1718389.4166666663</v>
      </c>
      <c r="R26" s="47">
        <f>1629755.18387097-T26</f>
        <v>1436781.18387097</v>
      </c>
      <c r="S26" s="44">
        <f>88634.2327956997+T26</f>
        <v>281608.23279569973</v>
      </c>
      <c r="T26" s="49">
        <v>192974</v>
      </c>
      <c r="U26" s="149">
        <f t="shared" si="7"/>
        <v>88634.232795699732</v>
      </c>
      <c r="V26" s="51">
        <f t="shared" si="8"/>
        <v>333852.30074252823</v>
      </c>
      <c r="W26" s="42">
        <f t="shared" si="9"/>
        <v>140878.30074252823</v>
      </c>
      <c r="X26" s="133">
        <f t="shared" si="10"/>
        <v>-52244.067946828494</v>
      </c>
      <c r="Y26" s="51">
        <f t="shared" si="11"/>
        <v>350564.51246939128</v>
      </c>
      <c r="Z26" s="42">
        <f t="shared" si="12"/>
        <v>157590.51246939128</v>
      </c>
      <c r="AA26" s="133">
        <f t="shared" si="13"/>
        <v>-68956.279673691548</v>
      </c>
      <c r="AB26" s="51">
        <f t="shared" si="29"/>
        <v>268536.94373321708</v>
      </c>
      <c r="AC26" s="46">
        <f t="shared" si="30"/>
        <v>75562.943733217078</v>
      </c>
      <c r="AD26" s="133">
        <f t="shared" si="14"/>
        <v>13071.289062482654</v>
      </c>
      <c r="AE26" s="273"/>
      <c r="AF26" s="8"/>
      <c r="AG26" s="8"/>
      <c r="AH26" s="274"/>
      <c r="AK26" s="216"/>
      <c r="AQ26" s="8"/>
      <c r="BA26" s="187" t="s">
        <v>64</v>
      </c>
      <c r="BB26" s="202">
        <f t="shared" si="17"/>
        <v>1729411</v>
      </c>
      <c r="BC26" s="202">
        <f t="shared" si="18"/>
        <v>301145</v>
      </c>
      <c r="BD26" s="203"/>
      <c r="BE26" s="204"/>
      <c r="BF26" s="202">
        <f t="shared" si="19"/>
        <v>335993.59707383165</v>
      </c>
      <c r="BG26" s="203"/>
      <c r="BH26" s="202">
        <f t="shared" si="20"/>
        <v>34848.597073831654</v>
      </c>
      <c r="BI26" s="203"/>
      <c r="BJ26" s="262" t="s">
        <v>181</v>
      </c>
      <c r="BK26" s="197"/>
      <c r="BP26" s="187" t="s">
        <v>64</v>
      </c>
      <c r="BQ26" s="183">
        <f t="shared" si="21"/>
        <v>1356095.5892526901</v>
      </c>
      <c r="BR26" s="183">
        <f t="shared" si="22"/>
        <v>301145</v>
      </c>
      <c r="BS26" s="166"/>
      <c r="BT26" s="184"/>
      <c r="BU26" s="183">
        <f t="shared" si="23"/>
        <v>330877.79436771519</v>
      </c>
      <c r="BV26" s="166"/>
      <c r="BW26" s="183">
        <f t="shared" si="24"/>
        <v>29732.794367715192</v>
      </c>
      <c r="BX26" s="166"/>
      <c r="BY26" s="261" t="s">
        <v>181</v>
      </c>
      <c r="BZ26" s="197"/>
      <c r="CA26" s="253" t="s">
        <v>64</v>
      </c>
      <c r="CB26" s="229">
        <f t="shared" si="25"/>
        <v>373315.41074731317</v>
      </c>
      <c r="CC26" s="229">
        <f t="shared" si="26"/>
        <v>301145</v>
      </c>
      <c r="CD26" s="186"/>
      <c r="CE26" s="230"/>
      <c r="CF26" s="229">
        <f t="shared" si="27"/>
        <v>355987.38877539273</v>
      </c>
      <c r="CG26" s="186"/>
      <c r="CH26" s="229">
        <f t="shared" si="28"/>
        <v>54842.388775392727</v>
      </c>
      <c r="CI26" s="186"/>
      <c r="CJ26" s="262" t="s">
        <v>181</v>
      </c>
      <c r="CK26" s="198"/>
      <c r="CL26" s="286"/>
      <c r="CM26" s="8"/>
      <c r="CN26" s="8"/>
      <c r="CQ26" s="8"/>
      <c r="CS26" s="8"/>
      <c r="CU26" s="209"/>
      <c r="CV26" s="268"/>
    </row>
    <row r="27" spans="1:100" x14ac:dyDescent="0.3">
      <c r="A27" s="4" t="s">
        <v>61</v>
      </c>
      <c r="B27" s="4" t="s">
        <v>69</v>
      </c>
      <c r="C27" s="7">
        <v>439107.87</v>
      </c>
      <c r="D27" s="7">
        <v>529432.31999999995</v>
      </c>
      <c r="E27" s="7">
        <v>-34377</v>
      </c>
      <c r="F27" s="7">
        <f t="shared" si="0"/>
        <v>563809.31999999995</v>
      </c>
      <c r="G27" s="7">
        <f t="shared" si="1"/>
        <v>-92678.479999999952</v>
      </c>
      <c r="H27" s="7">
        <v>32022.97</v>
      </c>
      <c r="I27" s="7">
        <v>1174341.5800000003</v>
      </c>
      <c r="J27" s="7">
        <v>1357997.56</v>
      </c>
      <c r="K27" s="7">
        <f t="shared" si="2"/>
        <v>-145847.38999999975</v>
      </c>
      <c r="L27" s="7">
        <v>37808.589999999997</v>
      </c>
      <c r="M27" s="8">
        <f t="shared" si="5"/>
        <v>806724.72500000009</v>
      </c>
      <c r="N27" s="8">
        <f t="shared" si="6"/>
        <v>925987.65999999992</v>
      </c>
      <c r="O27" s="7">
        <f t="shared" si="3"/>
        <v>-119262.93499999985</v>
      </c>
      <c r="P27" s="8">
        <f t="shared" si="4"/>
        <v>34915.78</v>
      </c>
      <c r="Q27" s="44">
        <v>464499.99999999994</v>
      </c>
      <c r="R27" s="47">
        <f>429873.527163105-T27</f>
        <v>389643.52716310503</v>
      </c>
      <c r="S27" s="44">
        <f>34626.4728368948+T27</f>
        <v>74856.472836894798</v>
      </c>
      <c r="T27" s="49">
        <v>40230</v>
      </c>
      <c r="U27" s="149">
        <f t="shared" si="7"/>
        <v>34626.472836894798</v>
      </c>
      <c r="V27" s="51">
        <f t="shared" si="8"/>
        <v>90244.034437617651</v>
      </c>
      <c r="W27" s="42">
        <f t="shared" si="9"/>
        <v>50014.034437617651</v>
      </c>
      <c r="X27" s="133">
        <f t="shared" si="10"/>
        <v>-15387.561600722853</v>
      </c>
      <c r="Y27" s="51">
        <f t="shared" si="11"/>
        <v>95070.282566461319</v>
      </c>
      <c r="Z27" s="42">
        <f t="shared" si="12"/>
        <v>54840.282566461319</v>
      </c>
      <c r="AA27" s="133">
        <f t="shared" si="13"/>
        <v>-20213.809729566521</v>
      </c>
      <c r="AB27" s="51">
        <f t="shared" si="29"/>
        <v>71381.891909572296</v>
      </c>
      <c r="AC27" s="46">
        <f t="shared" si="30"/>
        <v>31151.891909572296</v>
      </c>
      <c r="AD27" s="133">
        <f t="shared" si="14"/>
        <v>3474.5809273225022</v>
      </c>
      <c r="AE27" s="273"/>
      <c r="AF27" s="8"/>
      <c r="AG27" s="8"/>
      <c r="AH27" s="274"/>
      <c r="AK27" s="216"/>
      <c r="AQ27" s="8"/>
      <c r="AY27" s="8"/>
      <c r="BA27" s="187" t="s">
        <v>66</v>
      </c>
      <c r="BB27" s="202">
        <f t="shared" si="17"/>
        <v>315315</v>
      </c>
      <c r="BC27" s="202">
        <f t="shared" si="18"/>
        <v>14000.000000000038</v>
      </c>
      <c r="BD27" s="203"/>
      <c r="BE27" s="204"/>
      <c r="BF27" s="202">
        <f t="shared" si="19"/>
        <v>61260.059674267846</v>
      </c>
      <c r="BG27" s="203"/>
      <c r="BH27" s="202">
        <f t="shared" si="20"/>
        <v>47260.05967426781</v>
      </c>
      <c r="BI27" s="203"/>
      <c r="BJ27" s="206">
        <f t="shared" si="31"/>
        <v>117125.83619668474</v>
      </c>
      <c r="BK27" s="197"/>
      <c r="BP27" s="187" t="s">
        <v>66</v>
      </c>
      <c r="BQ27" s="183">
        <f t="shared" si="21"/>
        <v>275073.74162759393</v>
      </c>
      <c r="BR27" s="183">
        <f t="shared" si="22"/>
        <v>14000.000000000038</v>
      </c>
      <c r="BS27" s="166"/>
      <c r="BT27" s="184"/>
      <c r="BU27" s="183">
        <f t="shared" si="23"/>
        <v>67116.059988344583</v>
      </c>
      <c r="BV27" s="166"/>
      <c r="BW27" s="183">
        <f t="shared" si="24"/>
        <v>53116.059988344547</v>
      </c>
      <c r="BX27" s="166"/>
      <c r="BY27" s="202">
        <f t="shared" si="32"/>
        <v>117125.83619668474</v>
      </c>
      <c r="BZ27" s="197"/>
      <c r="CA27" s="253" t="s">
        <v>66</v>
      </c>
      <c r="CB27" s="229">
        <f t="shared" si="25"/>
        <v>40241.258372406039</v>
      </c>
      <c r="CC27" s="229">
        <f t="shared" si="26"/>
        <v>14000.000000000038</v>
      </c>
      <c r="CD27" s="186"/>
      <c r="CE27" s="230"/>
      <c r="CF27" s="229">
        <f t="shared" si="27"/>
        <v>38373.39707019271</v>
      </c>
      <c r="CG27" s="186"/>
      <c r="CH27" s="229">
        <f t="shared" si="28"/>
        <v>24373.397070192674</v>
      </c>
      <c r="CI27" s="186"/>
      <c r="CJ27" s="254">
        <f t="shared" si="33"/>
        <v>117125.83619668474</v>
      </c>
      <c r="CK27" s="198"/>
      <c r="CL27" s="286"/>
      <c r="CM27" s="8"/>
      <c r="CN27" s="8"/>
      <c r="CQ27" s="8"/>
      <c r="CS27" s="8"/>
      <c r="CU27" s="209"/>
      <c r="CV27" s="268"/>
    </row>
    <row r="28" spans="1:100" x14ac:dyDescent="0.3">
      <c r="A28" s="4" t="s">
        <v>61</v>
      </c>
      <c r="B28" s="4" t="s">
        <v>96</v>
      </c>
      <c r="C28" s="7">
        <v>589382.52</v>
      </c>
      <c r="D28" s="7">
        <v>633637.83000000007</v>
      </c>
      <c r="E28" s="7">
        <v>-65166.8</v>
      </c>
      <c r="F28" s="7">
        <f t="shared" si="0"/>
        <v>698804.63000000012</v>
      </c>
      <c r="G28" s="7">
        <f t="shared" si="1"/>
        <v>-71027.220000000088</v>
      </c>
      <c r="H28" s="7">
        <v>38394.890000000007</v>
      </c>
      <c r="I28" s="7">
        <v>783921.54999999981</v>
      </c>
      <c r="J28" s="7">
        <v>777268.12</v>
      </c>
      <c r="K28" s="7">
        <f t="shared" si="2"/>
        <v>76570.209999999803</v>
      </c>
      <c r="L28" s="7">
        <v>69916.779999999984</v>
      </c>
      <c r="M28" s="8">
        <f t="shared" si="5"/>
        <v>686652.03499999992</v>
      </c>
      <c r="N28" s="8">
        <f t="shared" si="6"/>
        <v>683880.54</v>
      </c>
      <c r="O28" s="7">
        <f t="shared" si="3"/>
        <v>2771.4949999998571</v>
      </c>
      <c r="P28" s="8">
        <f t="shared" si="4"/>
        <v>54155.834999999992</v>
      </c>
      <c r="Q28" s="44">
        <v>883097.99999999977</v>
      </c>
      <c r="R28" s="47">
        <f>861474.229165678-T28</f>
        <v>787207.22916567803</v>
      </c>
      <c r="S28" s="44">
        <f>21623.7708343219+T28</f>
        <v>95890.770834321869</v>
      </c>
      <c r="T28" s="49">
        <v>74266.999999999971</v>
      </c>
      <c r="U28" s="149">
        <f t="shared" si="7"/>
        <v>21623.770834321898</v>
      </c>
      <c r="V28" s="51">
        <f t="shared" si="8"/>
        <v>171570.13202107916</v>
      </c>
      <c r="W28" s="42">
        <f t="shared" si="9"/>
        <v>97303.132021079189</v>
      </c>
      <c r="X28" s="133">
        <f t="shared" si="10"/>
        <v>-75679.361186757291</v>
      </c>
      <c r="Y28" s="51">
        <f t="shared" si="11"/>
        <v>192073.03213794695</v>
      </c>
      <c r="Z28" s="42">
        <f t="shared" si="12"/>
        <v>117806.03213794698</v>
      </c>
      <c r="AA28" s="133">
        <f t="shared" si="13"/>
        <v>-96182.261303625084</v>
      </c>
      <c r="AB28" s="51">
        <f t="shared" si="29"/>
        <v>91439.849880924085</v>
      </c>
      <c r="AC28" s="46">
        <f t="shared" si="30"/>
        <v>17172.849880924114</v>
      </c>
      <c r="AD28" s="133">
        <f t="shared" si="14"/>
        <v>4450.9209533977846</v>
      </c>
      <c r="AE28" s="273"/>
      <c r="AF28" s="8"/>
      <c r="AG28" s="8"/>
      <c r="AH28" s="274"/>
      <c r="AK28" s="216"/>
      <c r="AQ28" s="8"/>
      <c r="BA28" s="187" t="s">
        <v>67</v>
      </c>
      <c r="BB28" s="202">
        <f t="shared" si="17"/>
        <v>467100</v>
      </c>
      <c r="BC28" s="202">
        <f t="shared" si="18"/>
        <v>27879.999999999953</v>
      </c>
      <c r="BD28" s="203"/>
      <c r="BE28" s="204"/>
      <c r="BF28" s="202">
        <f t="shared" si="19"/>
        <v>90749.167891950943</v>
      </c>
      <c r="BG28" s="203"/>
      <c r="BH28" s="202">
        <f t="shared" si="20"/>
        <v>62869.167891950987</v>
      </c>
      <c r="BI28" s="203"/>
      <c r="BJ28" s="206">
        <f t="shared" si="31"/>
        <v>391538.05435751704</v>
      </c>
      <c r="BK28" s="166"/>
      <c r="BP28" s="187" t="s">
        <v>67</v>
      </c>
      <c r="BQ28" s="183">
        <f t="shared" si="21"/>
        <v>331519.80686677503</v>
      </c>
      <c r="BR28" s="183">
        <f t="shared" si="22"/>
        <v>27879.999999999953</v>
      </c>
      <c r="BS28" s="166"/>
      <c r="BT28" s="184"/>
      <c r="BU28" s="183">
        <f t="shared" si="23"/>
        <v>80888.503254949916</v>
      </c>
      <c r="BV28" s="166"/>
      <c r="BW28" s="183">
        <f t="shared" si="24"/>
        <v>53008.503254949959</v>
      </c>
      <c r="BX28" s="166"/>
      <c r="BY28" s="202">
        <f t="shared" si="32"/>
        <v>391538.05435751704</v>
      </c>
      <c r="BZ28" s="166"/>
      <c r="CA28" s="187" t="s">
        <v>67</v>
      </c>
      <c r="CB28" s="229">
        <f t="shared" si="25"/>
        <v>135580.19313322494</v>
      </c>
      <c r="CC28" s="229">
        <f t="shared" si="26"/>
        <v>27879.999999999953</v>
      </c>
      <c r="CD28" s="186"/>
      <c r="CE28" s="230"/>
      <c r="CF28" s="229">
        <f t="shared" si="27"/>
        <v>129287.02521693995</v>
      </c>
      <c r="CG28" s="186"/>
      <c r="CH28" s="229">
        <f t="shared" si="28"/>
        <v>101407.02521693999</v>
      </c>
      <c r="CI28" s="186"/>
      <c r="CJ28" s="232">
        <f t="shared" si="33"/>
        <v>391538.05435751704</v>
      </c>
      <c r="CK28" s="186"/>
      <c r="CL28" s="286"/>
      <c r="CM28" s="8"/>
      <c r="CN28" s="8"/>
      <c r="CQ28" s="8"/>
      <c r="CS28" s="8"/>
      <c r="CU28" s="209"/>
    </row>
    <row r="29" spans="1:100" x14ac:dyDescent="0.3">
      <c r="A29" s="4" t="s">
        <v>71</v>
      </c>
      <c r="B29" s="4" t="s">
        <v>72</v>
      </c>
      <c r="C29" s="7">
        <v>10125.970000000001</v>
      </c>
      <c r="D29" s="7">
        <v>12650.679999999998</v>
      </c>
      <c r="E29" s="7"/>
      <c r="F29" s="7">
        <f t="shared" si="0"/>
        <v>12650.679999999998</v>
      </c>
      <c r="G29" s="7">
        <f t="shared" si="1"/>
        <v>-1684.1899999999973</v>
      </c>
      <c r="H29" s="7">
        <v>840.52</v>
      </c>
      <c r="I29" s="7">
        <v>10593.21</v>
      </c>
      <c r="J29" s="7">
        <v>3366.15</v>
      </c>
      <c r="K29" s="7">
        <f t="shared" si="2"/>
        <v>8107.1799999999994</v>
      </c>
      <c r="L29" s="7">
        <v>880.11999999999989</v>
      </c>
      <c r="M29" s="8">
        <f t="shared" si="5"/>
        <v>10359.59</v>
      </c>
      <c r="N29" s="8">
        <f t="shared" si="6"/>
        <v>7148.0949999999993</v>
      </c>
      <c r="O29" s="7">
        <f t="shared" si="3"/>
        <v>3211.4950000000008</v>
      </c>
      <c r="P29" s="8">
        <f t="shared" si="4"/>
        <v>860.31999999999994</v>
      </c>
      <c r="Q29" s="44">
        <v>8000.0000000000027</v>
      </c>
      <c r="R29" s="47">
        <f>7052-T29</f>
        <v>6302</v>
      </c>
      <c r="S29" s="44">
        <f>947.999999999997+T29</f>
        <v>1697.999999999997</v>
      </c>
      <c r="T29" s="49">
        <v>750</v>
      </c>
      <c r="U29" s="149">
        <f t="shared" si="7"/>
        <v>947.99999999999704</v>
      </c>
      <c r="V29" s="51">
        <f t="shared" si="8"/>
        <v>1554.2567825639217</v>
      </c>
      <c r="W29" s="42">
        <f t="shared" si="9"/>
        <v>804.25678256392166</v>
      </c>
      <c r="X29" s="133">
        <f t="shared" si="10"/>
        <v>143.74321743607538</v>
      </c>
      <c r="Y29" s="51">
        <f t="shared" si="11"/>
        <v>1537.6437152593628</v>
      </c>
      <c r="Z29" s="42">
        <f t="shared" si="12"/>
        <v>787.64371525936281</v>
      </c>
      <c r="AA29" s="133">
        <f t="shared" si="13"/>
        <v>160.35628474063424</v>
      </c>
      <c r="AB29" s="51">
        <f t="shared" si="29"/>
        <v>1619.1846592418399</v>
      </c>
      <c r="AC29" s="46">
        <f t="shared" si="30"/>
        <v>869.18465924183988</v>
      </c>
      <c r="AD29" s="133">
        <f t="shared" si="14"/>
        <v>78.815340758157163</v>
      </c>
      <c r="AE29" s="273"/>
      <c r="AF29" s="8"/>
      <c r="AG29" s="8"/>
      <c r="AH29" s="274"/>
      <c r="AK29" s="216"/>
      <c r="AQ29" s="8"/>
      <c r="BA29" s="187" t="s">
        <v>68</v>
      </c>
      <c r="BB29" s="202">
        <f t="shared" si="17"/>
        <v>1718389.4166666663</v>
      </c>
      <c r="BC29" s="202">
        <f t="shared" si="18"/>
        <v>192974</v>
      </c>
      <c r="BD29" s="203"/>
      <c r="BE29" s="204"/>
      <c r="BF29" s="202">
        <f t="shared" si="19"/>
        <v>333852.30074252823</v>
      </c>
      <c r="BG29" s="203"/>
      <c r="BH29" s="202">
        <f t="shared" si="20"/>
        <v>140878.30074252823</v>
      </c>
      <c r="BI29" s="203"/>
      <c r="BJ29" s="206">
        <f t="shared" si="31"/>
        <v>3881113.2680601976</v>
      </c>
      <c r="BK29" s="166"/>
      <c r="BP29" s="187" t="s">
        <v>68</v>
      </c>
      <c r="BQ29" s="183">
        <f t="shared" si="21"/>
        <v>1436781.18387097</v>
      </c>
      <c r="BR29" s="183">
        <f t="shared" si="22"/>
        <v>192974</v>
      </c>
      <c r="BS29" s="166"/>
      <c r="BT29" s="184"/>
      <c r="BU29" s="183">
        <f t="shared" si="23"/>
        <v>350564.51246939128</v>
      </c>
      <c r="BV29" s="166"/>
      <c r="BW29" s="183">
        <f t="shared" si="24"/>
        <v>157590.51246939128</v>
      </c>
      <c r="BX29" s="166"/>
      <c r="BY29" s="202">
        <f t="shared" si="32"/>
        <v>3881113.2680601976</v>
      </c>
      <c r="BZ29" s="166"/>
      <c r="CA29" s="187" t="s">
        <v>68</v>
      </c>
      <c r="CB29" s="229">
        <f t="shared" si="25"/>
        <v>281608.23279569973</v>
      </c>
      <c r="CC29" s="229">
        <f t="shared" si="26"/>
        <v>192974</v>
      </c>
      <c r="CD29" s="186"/>
      <c r="CE29" s="230"/>
      <c r="CF29" s="229">
        <f t="shared" si="27"/>
        <v>268536.94373321708</v>
      </c>
      <c r="CG29" s="186"/>
      <c r="CH29" s="229">
        <f t="shared" si="28"/>
        <v>75562.943733217078</v>
      </c>
      <c r="CI29" s="186"/>
      <c r="CJ29" s="232">
        <f t="shared" si="33"/>
        <v>3881113.2680601976</v>
      </c>
      <c r="CK29" s="186"/>
      <c r="CL29" s="286"/>
      <c r="CM29" s="8"/>
      <c r="CN29" s="8"/>
      <c r="CQ29" s="8"/>
      <c r="CS29" s="8"/>
      <c r="CU29" s="209"/>
    </row>
    <row r="30" spans="1:100" x14ac:dyDescent="0.3">
      <c r="A30" s="4" t="s">
        <v>71</v>
      </c>
      <c r="B30" s="4" t="s">
        <v>73</v>
      </c>
      <c r="C30" s="33">
        <v>891.36</v>
      </c>
      <c r="D30" s="33">
        <v>89.38</v>
      </c>
      <c r="E30" s="33"/>
      <c r="F30" s="33"/>
      <c r="G30" s="33"/>
      <c r="H30" s="33"/>
      <c r="I30" s="33"/>
      <c r="J30" s="33"/>
      <c r="K30" s="33"/>
      <c r="L30" s="33"/>
      <c r="M30" s="55"/>
      <c r="N30" s="34"/>
      <c r="O30" s="33"/>
      <c r="P30" s="34"/>
      <c r="Q30" s="45"/>
      <c r="R30" s="48"/>
      <c r="S30" s="45"/>
      <c r="T30" s="50"/>
      <c r="U30" s="150"/>
      <c r="V30" s="53"/>
      <c r="W30" s="43"/>
      <c r="X30" s="134"/>
      <c r="Y30" s="53"/>
      <c r="Z30" s="43"/>
      <c r="AA30" s="153"/>
      <c r="AB30" s="53"/>
      <c r="AC30" s="155"/>
      <c r="AD30" s="134"/>
      <c r="AE30" s="273"/>
      <c r="AF30" s="8"/>
      <c r="AH30" s="273"/>
      <c r="AK30" s="216"/>
      <c r="AQ30" s="8"/>
      <c r="BA30" s="187" t="s">
        <v>69</v>
      </c>
      <c r="BB30" s="202">
        <f t="shared" si="17"/>
        <v>464499.99999999994</v>
      </c>
      <c r="BC30" s="202">
        <f t="shared" si="18"/>
        <v>40230</v>
      </c>
      <c r="BD30" s="203"/>
      <c r="BE30" s="204"/>
      <c r="BF30" s="202">
        <f t="shared" si="19"/>
        <v>90244.034437617651</v>
      </c>
      <c r="BG30" s="203"/>
      <c r="BH30" s="202">
        <f t="shared" si="20"/>
        <v>50014.034437617651</v>
      </c>
      <c r="BI30" s="203"/>
      <c r="BJ30" s="262" t="s">
        <v>181</v>
      </c>
      <c r="BK30" s="166"/>
      <c r="BP30" s="187" t="s">
        <v>69</v>
      </c>
      <c r="BQ30" s="183">
        <f t="shared" si="21"/>
        <v>389643.52716310503</v>
      </c>
      <c r="BR30" s="183">
        <f t="shared" si="22"/>
        <v>40230</v>
      </c>
      <c r="BS30" s="166"/>
      <c r="BT30" s="184"/>
      <c r="BU30" s="183">
        <f t="shared" si="23"/>
        <v>95070.282566461319</v>
      </c>
      <c r="BV30" s="166"/>
      <c r="BW30" s="183">
        <f t="shared" si="24"/>
        <v>54840.282566461319</v>
      </c>
      <c r="BX30" s="166"/>
      <c r="BY30" s="261" t="s">
        <v>177</v>
      </c>
      <c r="BZ30" s="166"/>
      <c r="CA30" s="187" t="s">
        <v>69</v>
      </c>
      <c r="CB30" s="229">
        <f t="shared" si="25"/>
        <v>74856.472836894798</v>
      </c>
      <c r="CC30" s="229">
        <f t="shared" si="26"/>
        <v>40230</v>
      </c>
      <c r="CD30" s="186"/>
      <c r="CE30" s="230"/>
      <c r="CF30" s="229">
        <f t="shared" si="27"/>
        <v>71381.891909572296</v>
      </c>
      <c r="CG30" s="186"/>
      <c r="CH30" s="229">
        <f t="shared" si="28"/>
        <v>31151.891909572296</v>
      </c>
      <c r="CI30" s="186"/>
      <c r="CJ30" s="261" t="s">
        <v>181</v>
      </c>
      <c r="CK30" s="186"/>
      <c r="CL30" s="286"/>
      <c r="CM30" s="8"/>
      <c r="CN30" s="8"/>
      <c r="CQ30" s="8"/>
      <c r="CS30" s="8"/>
      <c r="CU30" s="288"/>
    </row>
    <row r="31" spans="1:100" x14ac:dyDescent="0.3">
      <c r="A31" s="4" t="s">
        <v>71</v>
      </c>
      <c r="B31" s="4" t="s">
        <v>74</v>
      </c>
      <c r="C31" s="7">
        <v>13126.740000000002</v>
      </c>
      <c r="D31" s="7">
        <v>30121.449999999997</v>
      </c>
      <c r="E31" s="7"/>
      <c r="F31" s="7">
        <f t="shared" si="0"/>
        <v>30121.449999999997</v>
      </c>
      <c r="G31" s="7">
        <f t="shared" si="1"/>
        <v>-15964.459999999995</v>
      </c>
      <c r="H31" s="7">
        <v>1030.25</v>
      </c>
      <c r="I31" s="7">
        <v>13500.319999999998</v>
      </c>
      <c r="J31" s="7">
        <v>16492.180000000004</v>
      </c>
      <c r="K31" s="7">
        <f t="shared" si="2"/>
        <v>-1966.100000000006</v>
      </c>
      <c r="L31" s="7">
        <v>1025.76</v>
      </c>
      <c r="M31" s="8">
        <f t="shared" si="5"/>
        <v>13313.529999999999</v>
      </c>
      <c r="N31" s="8">
        <f t="shared" ref="N31:N48" si="34">((F31+J31)/2)-P31</f>
        <v>22278.81</v>
      </c>
      <c r="O31" s="7">
        <f t="shared" ref="O31:O48" si="35">(G31+K31)/2</f>
        <v>-8965.2800000000007</v>
      </c>
      <c r="P31" s="8">
        <f t="shared" ref="P31:P48" si="36">(H31+L31)/2</f>
        <v>1028.0050000000001</v>
      </c>
      <c r="Q31" s="44">
        <v>10500</v>
      </c>
      <c r="R31" s="47">
        <f>7665-T31</f>
        <v>6615</v>
      </c>
      <c r="S31" s="44">
        <f>2835+T31</f>
        <v>3885</v>
      </c>
      <c r="T31" s="49">
        <v>1050</v>
      </c>
      <c r="U31" s="149">
        <f t="shared" ref="U31:U48" si="37">S31-T31</f>
        <v>2835</v>
      </c>
      <c r="V31" s="51">
        <f t="shared" ref="V31:V48" si="38">(Q31*$M$52)</f>
        <v>2039.9620271151464</v>
      </c>
      <c r="W31" s="42">
        <f t="shared" si="9"/>
        <v>989.96202711514638</v>
      </c>
      <c r="X31" s="133">
        <f t="shared" ref="X31:X48" si="39">S31-V31</f>
        <v>1845.0379728848536</v>
      </c>
      <c r="Y31" s="51">
        <f t="shared" ref="Y31:Y48" si="40">(R31*N$52)</f>
        <v>1614.0135157792263</v>
      </c>
      <c r="Z31" s="42">
        <f t="shared" ref="Z31:Z48" si="41">Y31-T31</f>
        <v>564.01351577922628</v>
      </c>
      <c r="AA31" s="133">
        <f t="shared" ref="AA31:AA48" si="42">S31-Y31</f>
        <v>2270.9864842207735</v>
      </c>
      <c r="AB31" s="51">
        <f t="shared" ref="AB31:AB32" si="43">(S31*$O$52)</f>
        <v>3704.6716143430854</v>
      </c>
      <c r="AC31" s="46">
        <f>AB31-T31</f>
        <v>2654.6716143430854</v>
      </c>
      <c r="AD31" s="133">
        <f t="shared" ref="AD31:AD48" si="44">S31-AB31</f>
        <v>180.32838565691463</v>
      </c>
      <c r="AE31" s="273"/>
      <c r="AF31" s="8"/>
      <c r="AG31" s="8"/>
      <c r="AH31" s="274"/>
      <c r="AK31" s="216"/>
      <c r="AQ31" s="8"/>
      <c r="BA31" s="187" t="s">
        <v>96</v>
      </c>
      <c r="BB31" s="202">
        <f t="shared" si="17"/>
        <v>883097.99999999977</v>
      </c>
      <c r="BC31" s="202">
        <f t="shared" si="18"/>
        <v>74266.999999999971</v>
      </c>
      <c r="BD31" s="203"/>
      <c r="BE31" s="204"/>
      <c r="BF31" s="202">
        <f t="shared" si="19"/>
        <v>171570.13202107916</v>
      </c>
      <c r="BG31" s="203"/>
      <c r="BH31" s="202">
        <f t="shared" si="20"/>
        <v>97303.132021079189</v>
      </c>
      <c r="BI31" s="203"/>
      <c r="BJ31" s="262" t="s">
        <v>182</v>
      </c>
      <c r="BK31" s="166"/>
      <c r="BP31" s="187" t="s">
        <v>96</v>
      </c>
      <c r="BQ31" s="183">
        <f t="shared" si="21"/>
        <v>787207.22916567803</v>
      </c>
      <c r="BR31" s="183">
        <f t="shared" si="22"/>
        <v>74266.999999999971</v>
      </c>
      <c r="BS31" s="166"/>
      <c r="BT31" s="184"/>
      <c r="BU31" s="183">
        <f t="shared" si="23"/>
        <v>192073.03213794695</v>
      </c>
      <c r="BV31" s="166"/>
      <c r="BW31" s="183">
        <f t="shared" si="24"/>
        <v>117806.03213794698</v>
      </c>
      <c r="BX31" s="166"/>
      <c r="BY31" s="261" t="s">
        <v>181</v>
      </c>
      <c r="BZ31" s="166"/>
      <c r="CA31" s="187" t="s">
        <v>96</v>
      </c>
      <c r="CB31" s="229">
        <f t="shared" si="25"/>
        <v>95890.770834321869</v>
      </c>
      <c r="CC31" s="229">
        <f t="shared" si="26"/>
        <v>74266.999999999971</v>
      </c>
      <c r="CD31" s="186"/>
      <c r="CE31" s="230"/>
      <c r="CF31" s="229">
        <f t="shared" si="27"/>
        <v>91439.849880924085</v>
      </c>
      <c r="CG31" s="186"/>
      <c r="CH31" s="229">
        <f t="shared" si="28"/>
        <v>17172.849880924114</v>
      </c>
      <c r="CI31" s="186"/>
      <c r="CJ31" s="261" t="s">
        <v>181</v>
      </c>
      <c r="CK31" s="186"/>
      <c r="CL31" s="286"/>
      <c r="CM31" s="8"/>
      <c r="CN31" s="8"/>
      <c r="CQ31" s="8"/>
      <c r="CS31" s="8"/>
      <c r="CU31" s="209"/>
    </row>
    <row r="32" spans="1:100" x14ac:dyDescent="0.3">
      <c r="A32" s="4" t="s">
        <v>71</v>
      </c>
      <c r="B32" s="4" t="s">
        <v>75</v>
      </c>
      <c r="C32" s="7">
        <v>17015.41</v>
      </c>
      <c r="D32" s="7">
        <v>15355.910000000002</v>
      </c>
      <c r="E32" s="7"/>
      <c r="F32" s="7">
        <f t="shared" si="0"/>
        <v>15355.910000000002</v>
      </c>
      <c r="G32" s="7">
        <f t="shared" si="1"/>
        <v>3284.989999999998</v>
      </c>
      <c r="H32" s="7">
        <v>1625.4899999999998</v>
      </c>
      <c r="I32" s="7">
        <v>21447.920000000002</v>
      </c>
      <c r="J32" s="7">
        <v>8831.35</v>
      </c>
      <c r="K32" s="7">
        <f t="shared" si="2"/>
        <v>14637.410000000002</v>
      </c>
      <c r="L32" s="7">
        <v>2020.8400000000001</v>
      </c>
      <c r="M32" s="8">
        <f t="shared" si="5"/>
        <v>19231.665000000001</v>
      </c>
      <c r="N32" s="8">
        <f t="shared" si="34"/>
        <v>10270.465</v>
      </c>
      <c r="O32" s="7">
        <f t="shared" si="35"/>
        <v>8961.2000000000007</v>
      </c>
      <c r="P32" s="8">
        <f t="shared" si="36"/>
        <v>1823.165</v>
      </c>
      <c r="Q32" s="44">
        <v>18199.999999999964</v>
      </c>
      <c r="R32" s="47">
        <f>17487-T32</f>
        <v>15786.999999999996</v>
      </c>
      <c r="S32" s="44">
        <f>712.999999999953+T32</f>
        <v>2412.9999999999568</v>
      </c>
      <c r="T32" s="49">
        <v>1700.0000000000039</v>
      </c>
      <c r="U32" s="149">
        <f t="shared" si="37"/>
        <v>712.99999999995293</v>
      </c>
      <c r="V32" s="51">
        <f t="shared" si="38"/>
        <v>3535.9341803329135</v>
      </c>
      <c r="W32" s="42">
        <f t="shared" si="9"/>
        <v>1835.9341803329096</v>
      </c>
      <c r="X32" s="133">
        <f t="shared" si="39"/>
        <v>-1122.9341803329567</v>
      </c>
      <c r="Y32" s="51">
        <f t="shared" si="40"/>
        <v>3851.9170632814271</v>
      </c>
      <c r="Z32" s="42">
        <f t="shared" si="41"/>
        <v>2151.917063281423</v>
      </c>
      <c r="AA32" s="133">
        <f t="shared" si="42"/>
        <v>-1438.9170632814703</v>
      </c>
      <c r="AB32" s="51">
        <f t="shared" si="43"/>
        <v>2300.9968096292678</v>
      </c>
      <c r="AC32" s="46">
        <f>AB32-T32</f>
        <v>600.99680962926391</v>
      </c>
      <c r="AD32" s="133">
        <f t="shared" si="44"/>
        <v>112.00319037068903</v>
      </c>
      <c r="AE32" s="273"/>
      <c r="AF32" s="8"/>
      <c r="AG32" s="8"/>
      <c r="AH32" s="274"/>
      <c r="AK32" s="216"/>
      <c r="AQ32" s="8"/>
      <c r="BA32" s="187" t="s">
        <v>72</v>
      </c>
      <c r="BB32" s="202">
        <f t="shared" si="17"/>
        <v>8000.0000000000027</v>
      </c>
      <c r="BC32" s="202">
        <f t="shared" si="18"/>
        <v>750</v>
      </c>
      <c r="BD32" s="203"/>
      <c r="BE32" s="204"/>
      <c r="BF32" s="202">
        <f t="shared" si="19"/>
        <v>1554.2567825639217</v>
      </c>
      <c r="BG32" s="203"/>
      <c r="BH32" s="202">
        <f t="shared" si="20"/>
        <v>804.25678256392166</v>
      </c>
      <c r="BI32" s="203"/>
      <c r="BJ32" s="206">
        <f t="shared" si="31"/>
        <v>13317.932051694503</v>
      </c>
      <c r="BK32" s="166"/>
      <c r="BP32" s="187" t="s">
        <v>72</v>
      </c>
      <c r="BQ32" s="183">
        <f t="shared" si="21"/>
        <v>6302</v>
      </c>
      <c r="BR32" s="183">
        <f t="shared" si="22"/>
        <v>750</v>
      </c>
      <c r="BS32" s="166"/>
      <c r="BT32" s="184"/>
      <c r="BU32" s="183">
        <f t="shared" si="23"/>
        <v>1537.6437152593628</v>
      </c>
      <c r="BV32" s="166"/>
      <c r="BW32" s="183">
        <f t="shared" si="24"/>
        <v>787.64371525936281</v>
      </c>
      <c r="BX32" s="166"/>
      <c r="BY32" s="202">
        <f t="shared" si="32"/>
        <v>13317.932051694503</v>
      </c>
      <c r="BZ32" s="166"/>
      <c r="CA32" s="187" t="s">
        <v>72</v>
      </c>
      <c r="CB32" s="229">
        <f t="shared" si="25"/>
        <v>1697.999999999997</v>
      </c>
      <c r="CC32" s="229">
        <f t="shared" si="26"/>
        <v>750</v>
      </c>
      <c r="CD32" s="186"/>
      <c r="CE32" s="230"/>
      <c r="CF32" s="229">
        <f t="shared" si="27"/>
        <v>1619.1846592418399</v>
      </c>
      <c r="CG32" s="186"/>
      <c r="CH32" s="229">
        <f t="shared" si="28"/>
        <v>869.18465924183988</v>
      </c>
      <c r="CI32" s="186"/>
      <c r="CJ32" s="232">
        <f t="shared" si="33"/>
        <v>13317.932051694503</v>
      </c>
      <c r="CK32" s="186"/>
      <c r="CL32" s="286"/>
      <c r="CM32" s="8"/>
      <c r="CN32" s="8"/>
      <c r="CQ32" s="8"/>
      <c r="CS32" s="8"/>
      <c r="CU32" s="209"/>
    </row>
    <row r="33" spans="1:100" x14ac:dyDescent="0.3">
      <c r="A33" s="4" t="s">
        <v>71</v>
      </c>
      <c r="B33" s="4" t="s">
        <v>76</v>
      </c>
      <c r="C33" s="7">
        <v>11493.21</v>
      </c>
      <c r="D33" s="7">
        <v>3084.16</v>
      </c>
      <c r="E33" s="7"/>
      <c r="F33" s="7">
        <f t="shared" si="0"/>
        <v>3084.16</v>
      </c>
      <c r="G33" s="7">
        <f t="shared" si="1"/>
        <v>9206.0999999999985</v>
      </c>
      <c r="H33" s="7">
        <v>797.05000000000007</v>
      </c>
      <c r="I33" s="7">
        <v>12027.4</v>
      </c>
      <c r="J33" s="7">
        <v>1365.2600000000002</v>
      </c>
      <c r="K33" s="7">
        <f t="shared" si="2"/>
        <v>11439.289999999999</v>
      </c>
      <c r="L33" s="7">
        <v>777.15000000000009</v>
      </c>
      <c r="M33" s="8">
        <f t="shared" si="5"/>
        <v>11760.305</v>
      </c>
      <c r="N33" s="8">
        <f t="shared" si="34"/>
        <v>1437.61</v>
      </c>
      <c r="O33" s="7">
        <f t="shared" si="35"/>
        <v>10322.695</v>
      </c>
      <c r="P33" s="8">
        <f t="shared" si="36"/>
        <v>787.10000000000014</v>
      </c>
      <c r="Q33" s="44">
        <v>8893.0000000000055</v>
      </c>
      <c r="R33" s="47">
        <f>9749.99999999999-T33</f>
        <v>8949.9999999999909</v>
      </c>
      <c r="S33" s="44">
        <f>-856.999999999997+T33</f>
        <v>-56.999999999996476</v>
      </c>
      <c r="T33" s="49">
        <v>800.00000000000057</v>
      </c>
      <c r="U33" s="149">
        <f t="shared" si="37"/>
        <v>-856.99999999999704</v>
      </c>
      <c r="V33" s="51">
        <f t="shared" si="38"/>
        <v>1727.7506959176199</v>
      </c>
      <c r="W33" s="42">
        <f t="shared" si="9"/>
        <v>927.75069591761928</v>
      </c>
      <c r="X33" s="133">
        <f t="shared" si="39"/>
        <v>-1784.7506959176162</v>
      </c>
      <c r="Y33" s="51">
        <f t="shared" si="40"/>
        <v>2183.7371075168649</v>
      </c>
      <c r="Z33" s="42">
        <f t="shared" si="41"/>
        <v>1383.7371075168644</v>
      </c>
      <c r="AA33" s="133">
        <f t="shared" si="42"/>
        <v>-2240.7371075168612</v>
      </c>
      <c r="AB33" s="52">
        <v>0</v>
      </c>
      <c r="AC33" s="46">
        <f>-(T33-AB33)</f>
        <v>-800.00000000000057</v>
      </c>
      <c r="AD33" s="133">
        <f t="shared" si="44"/>
        <v>-56.999999999996476</v>
      </c>
      <c r="AE33" s="275"/>
      <c r="AF33" s="276"/>
      <c r="AG33" s="8"/>
      <c r="AH33" s="274"/>
      <c r="AK33" s="216"/>
      <c r="AQ33" s="8"/>
      <c r="CA33" s="114"/>
      <c r="CL33" s="114"/>
      <c r="CU33" s="273"/>
    </row>
    <row r="34" spans="1:100" ht="15" thickBot="1" x14ac:dyDescent="0.35">
      <c r="A34" s="4" t="s">
        <v>71</v>
      </c>
      <c r="B34" s="4" t="s">
        <v>77</v>
      </c>
      <c r="C34" s="7">
        <v>15320.84</v>
      </c>
      <c r="D34" s="7">
        <v>8312.1499999999978</v>
      </c>
      <c r="E34" s="7"/>
      <c r="F34" s="7">
        <f t="shared" si="0"/>
        <v>8312.1499999999978</v>
      </c>
      <c r="G34" s="7">
        <f t="shared" si="1"/>
        <v>8500.010000000002</v>
      </c>
      <c r="H34" s="7">
        <v>1491.32</v>
      </c>
      <c r="I34" s="7">
        <v>17888.900000000001</v>
      </c>
      <c r="J34" s="7">
        <v>6186.71</v>
      </c>
      <c r="K34" s="7">
        <f t="shared" si="2"/>
        <v>13339.300000000003</v>
      </c>
      <c r="L34" s="7">
        <v>1637.11</v>
      </c>
      <c r="M34" s="8">
        <f t="shared" si="5"/>
        <v>16604.870000000003</v>
      </c>
      <c r="N34" s="8">
        <f t="shared" si="34"/>
        <v>5685.2149999999983</v>
      </c>
      <c r="O34" s="7">
        <f t="shared" si="35"/>
        <v>10919.655000000002</v>
      </c>
      <c r="P34" s="8">
        <f t="shared" si="36"/>
        <v>1564.2149999999999</v>
      </c>
      <c r="Q34" s="44">
        <v>14400</v>
      </c>
      <c r="R34" s="47">
        <f>13922-T34</f>
        <v>12521.999999999996</v>
      </c>
      <c r="S34" s="44">
        <f>477.999999999988+T34</f>
        <v>1877.9999999999918</v>
      </c>
      <c r="T34" s="49">
        <v>1400.0000000000039</v>
      </c>
      <c r="U34" s="149">
        <f t="shared" si="37"/>
        <v>477.99999999998795</v>
      </c>
      <c r="V34" s="51">
        <f t="shared" si="38"/>
        <v>2797.6622086150578</v>
      </c>
      <c r="W34" s="42">
        <f t="shared" si="9"/>
        <v>1397.6622086150539</v>
      </c>
      <c r="X34" s="133">
        <f t="shared" si="39"/>
        <v>-919.66220861506599</v>
      </c>
      <c r="Y34" s="51">
        <f t="shared" si="40"/>
        <v>3055.2800067403577</v>
      </c>
      <c r="Z34" s="42">
        <f t="shared" si="41"/>
        <v>1655.2800067403539</v>
      </c>
      <c r="AA34" s="133">
        <f t="shared" si="42"/>
        <v>-1177.2800067403659</v>
      </c>
      <c r="AB34" s="51">
        <f t="shared" ref="AB34:AB48" si="45">(S34*$O$52)</f>
        <v>1790.8296761225956</v>
      </c>
      <c r="AC34" s="46">
        <f t="shared" ref="AC34:AC48" si="46">AB34-T34</f>
        <v>390.82967612259176</v>
      </c>
      <c r="AD34" s="133">
        <f t="shared" si="44"/>
        <v>87.170323877396186</v>
      </c>
      <c r="AE34" s="273"/>
      <c r="AF34" s="8"/>
      <c r="AG34" s="8"/>
      <c r="AH34" s="274"/>
      <c r="AK34" s="216"/>
      <c r="AQ34" s="8"/>
      <c r="CA34" s="114"/>
      <c r="CL34" s="114"/>
      <c r="CU34" s="273"/>
    </row>
    <row r="35" spans="1:100" ht="15" thickBot="1" x14ac:dyDescent="0.35">
      <c r="A35" s="4" t="s">
        <v>71</v>
      </c>
      <c r="B35" s="4" t="s">
        <v>78</v>
      </c>
      <c r="C35" s="7">
        <v>8948.34</v>
      </c>
      <c r="D35" s="7">
        <v>4433.1500000000015</v>
      </c>
      <c r="E35" s="7"/>
      <c r="F35" s="7">
        <f t="shared" si="0"/>
        <v>4433.1500000000015</v>
      </c>
      <c r="G35" s="7">
        <f t="shared" si="1"/>
        <v>5410.0299999999988</v>
      </c>
      <c r="H35" s="7">
        <v>894.8399999999998</v>
      </c>
      <c r="I35" s="7">
        <v>9371.66</v>
      </c>
      <c r="J35" s="7">
        <v>-2207.23</v>
      </c>
      <c r="K35" s="7">
        <f t="shared" si="2"/>
        <v>12516.06</v>
      </c>
      <c r="L35" s="7">
        <v>937.17</v>
      </c>
      <c r="M35" s="8">
        <f t="shared" si="5"/>
        <v>9160</v>
      </c>
      <c r="N35" s="8">
        <f t="shared" si="34"/>
        <v>196.95500000000084</v>
      </c>
      <c r="O35" s="7">
        <f t="shared" si="35"/>
        <v>8963.0449999999983</v>
      </c>
      <c r="P35" s="8">
        <f t="shared" si="36"/>
        <v>916.00499999999988</v>
      </c>
      <c r="Q35" s="44">
        <v>8499.9999999999964</v>
      </c>
      <c r="R35" s="47">
        <f>7178-T35</f>
        <v>6328.0000000000009</v>
      </c>
      <c r="S35" s="44">
        <f>1322+T35</f>
        <v>2171.9999999999995</v>
      </c>
      <c r="T35" s="49">
        <v>849.99999999999943</v>
      </c>
      <c r="U35" s="149">
        <f t="shared" si="37"/>
        <v>1322</v>
      </c>
      <c r="V35" s="51">
        <f t="shared" si="38"/>
        <v>1651.3978314741655</v>
      </c>
      <c r="W35" s="42">
        <f t="shared" si="9"/>
        <v>801.39783147416608</v>
      </c>
      <c r="X35" s="133">
        <f t="shared" si="39"/>
        <v>520.60216852583403</v>
      </c>
      <c r="Y35" s="51">
        <f t="shared" si="40"/>
        <v>1543.9875325549426</v>
      </c>
      <c r="Z35" s="42">
        <f t="shared" si="41"/>
        <v>693.98753255494319</v>
      </c>
      <c r="AA35" s="133">
        <f t="shared" si="42"/>
        <v>628.01246744505693</v>
      </c>
      <c r="AB35" s="51">
        <f t="shared" si="45"/>
        <v>2071.183203694512</v>
      </c>
      <c r="AC35" s="46">
        <f t="shared" si="46"/>
        <v>1221.1832036945125</v>
      </c>
      <c r="AD35" s="133">
        <f t="shared" si="44"/>
        <v>100.81679630548751</v>
      </c>
      <c r="AE35" s="273"/>
      <c r="AF35" s="8"/>
      <c r="AG35" s="8"/>
      <c r="AH35" s="274"/>
      <c r="AK35" s="216"/>
      <c r="AQ35" s="8"/>
      <c r="BA35" s="166"/>
      <c r="BB35" s="167"/>
      <c r="BC35" s="168" t="s">
        <v>160</v>
      </c>
      <c r="BD35" s="168"/>
      <c r="BE35" s="168"/>
      <c r="BF35" s="168"/>
      <c r="BG35" s="168"/>
      <c r="BH35" s="169"/>
      <c r="BI35" s="170"/>
      <c r="BJ35" s="171" t="s">
        <v>178</v>
      </c>
      <c r="BK35" s="166"/>
      <c r="BM35" s="54"/>
      <c r="BN35" s="54" t="s">
        <v>121</v>
      </c>
      <c r="BP35" s="186"/>
      <c r="BQ35" s="167"/>
      <c r="BR35" s="168" t="s">
        <v>163</v>
      </c>
      <c r="BS35" s="168"/>
      <c r="BT35" s="168"/>
      <c r="BU35" s="168"/>
      <c r="BV35" s="168"/>
      <c r="BW35" s="169"/>
      <c r="BX35" s="170"/>
      <c r="BY35" s="171" t="s">
        <v>178</v>
      </c>
      <c r="BZ35" s="166"/>
      <c r="CA35" s="186"/>
      <c r="CB35" s="167"/>
      <c r="CC35" s="168" t="s">
        <v>165</v>
      </c>
      <c r="CD35" s="168"/>
      <c r="CE35" s="168"/>
      <c r="CF35" s="168"/>
      <c r="CG35" s="168"/>
      <c r="CH35" s="169"/>
      <c r="CI35" s="170"/>
      <c r="CJ35" s="171" t="s">
        <v>178</v>
      </c>
      <c r="CK35" s="166"/>
      <c r="CL35" s="114"/>
      <c r="CM35" s="1"/>
      <c r="CN35" s="1"/>
      <c r="CO35" s="1"/>
      <c r="CP35" s="1"/>
      <c r="CQ35" s="1"/>
      <c r="CR35" s="1"/>
      <c r="CS35" s="268"/>
      <c r="CT35" s="1"/>
      <c r="CU35" s="268"/>
    </row>
    <row r="36" spans="1:100" ht="15" thickBot="1" x14ac:dyDescent="0.35">
      <c r="A36" s="4" t="s">
        <v>71</v>
      </c>
      <c r="B36" s="4" t="s">
        <v>79</v>
      </c>
      <c r="C36" s="7">
        <v>5315.54</v>
      </c>
      <c r="D36" s="7">
        <v>2758.4</v>
      </c>
      <c r="E36" s="7"/>
      <c r="F36" s="7">
        <f t="shared" si="0"/>
        <v>2758.4</v>
      </c>
      <c r="G36" s="7">
        <f t="shared" si="1"/>
        <v>3066.69</v>
      </c>
      <c r="H36" s="7">
        <v>509.55</v>
      </c>
      <c r="I36" s="7">
        <v>4997.8499999999995</v>
      </c>
      <c r="J36" s="7">
        <v>2876.3300000000004</v>
      </c>
      <c r="K36" s="7">
        <f t="shared" si="2"/>
        <v>2615.309999999999</v>
      </c>
      <c r="L36" s="7">
        <v>493.79</v>
      </c>
      <c r="M36" s="8">
        <f t="shared" si="5"/>
        <v>5156.6949999999997</v>
      </c>
      <c r="N36" s="8">
        <f t="shared" si="34"/>
        <v>2315.6950000000002</v>
      </c>
      <c r="O36" s="7">
        <f t="shared" si="35"/>
        <v>2840.9999999999995</v>
      </c>
      <c r="P36" s="8">
        <f t="shared" si="36"/>
        <v>501.67</v>
      </c>
      <c r="Q36" s="44">
        <v>6899.9999999999973</v>
      </c>
      <c r="R36" s="47">
        <f>7157-T36</f>
        <v>6577</v>
      </c>
      <c r="S36" s="44">
        <f>-257.000000000004+T36</f>
        <v>322.99999999999568</v>
      </c>
      <c r="T36" s="49">
        <v>579.99999999999966</v>
      </c>
      <c r="U36" s="149">
        <f t="shared" si="37"/>
        <v>-257.00000000000398</v>
      </c>
      <c r="V36" s="51">
        <f t="shared" si="38"/>
        <v>1340.5464749613814</v>
      </c>
      <c r="W36" s="42">
        <f t="shared" si="9"/>
        <v>760.5464749613817</v>
      </c>
      <c r="X36" s="133">
        <f t="shared" si="39"/>
        <v>-1017.5464749613857</v>
      </c>
      <c r="Y36" s="51">
        <f t="shared" si="40"/>
        <v>1604.7417828087637</v>
      </c>
      <c r="Z36" s="42">
        <f t="shared" si="41"/>
        <v>1024.7417828087641</v>
      </c>
      <c r="AA36" s="133">
        <f t="shared" si="42"/>
        <v>-1281.741782808768</v>
      </c>
      <c r="AB36" s="51">
        <f t="shared" si="45"/>
        <v>308.00744695824983</v>
      </c>
      <c r="AC36" s="46">
        <f t="shared" si="46"/>
        <v>-271.99255304174983</v>
      </c>
      <c r="AD36" s="133">
        <f t="shared" si="44"/>
        <v>14.99255304174585</v>
      </c>
      <c r="AE36" s="273"/>
      <c r="AF36" s="8"/>
      <c r="AG36" s="8"/>
      <c r="AH36" s="274"/>
      <c r="AK36" s="216"/>
      <c r="AQ36" s="8"/>
      <c r="BA36" s="166"/>
      <c r="BB36" s="172" t="s">
        <v>162</v>
      </c>
      <c r="BC36" s="173"/>
      <c r="BD36" s="174"/>
      <c r="BE36" s="174"/>
      <c r="BF36" s="171" t="s">
        <v>114</v>
      </c>
      <c r="BG36" s="174"/>
      <c r="BH36" s="175" t="s">
        <v>161</v>
      </c>
      <c r="BI36" s="170"/>
      <c r="BJ36" s="176" t="s">
        <v>119</v>
      </c>
      <c r="BK36" s="166"/>
      <c r="BM36" s="57" t="s">
        <v>123</v>
      </c>
      <c r="BN36" s="54" t="s">
        <v>122</v>
      </c>
      <c r="BP36" s="186"/>
      <c r="BQ36" s="172" t="s">
        <v>162</v>
      </c>
      <c r="BR36" s="173"/>
      <c r="BS36" s="170"/>
      <c r="BT36" s="170"/>
      <c r="BU36" s="171" t="s">
        <v>115</v>
      </c>
      <c r="BV36" s="170"/>
      <c r="BW36" s="188" t="s">
        <v>161</v>
      </c>
      <c r="BX36" s="170"/>
      <c r="BY36" s="176" t="s">
        <v>119</v>
      </c>
      <c r="BZ36" s="166"/>
      <c r="CA36" s="186"/>
      <c r="CB36" s="167" t="s">
        <v>162</v>
      </c>
      <c r="CC36" s="196"/>
      <c r="CD36" s="197"/>
      <c r="CE36" s="198"/>
      <c r="CF36" s="171" t="s">
        <v>124</v>
      </c>
      <c r="CG36" s="170"/>
      <c r="CH36" s="188" t="s">
        <v>161</v>
      </c>
      <c r="CI36" s="170"/>
      <c r="CJ36" s="176" t="s">
        <v>119</v>
      </c>
      <c r="CK36" s="166"/>
      <c r="CL36" s="114"/>
      <c r="CM36" s="1"/>
      <c r="CN36" s="1"/>
      <c r="CO36" s="268"/>
      <c r="CP36" s="268"/>
      <c r="CQ36" s="268"/>
      <c r="CR36" s="1"/>
      <c r="CS36" s="269"/>
      <c r="CT36" s="1"/>
      <c r="CU36" s="268"/>
    </row>
    <row r="37" spans="1:100" ht="15" thickBot="1" x14ac:dyDescent="0.35">
      <c r="A37" s="4" t="s">
        <v>71</v>
      </c>
      <c r="B37" s="4" t="s">
        <v>80</v>
      </c>
      <c r="C37" s="7">
        <v>13546.82</v>
      </c>
      <c r="D37" s="7">
        <v>9976.7199999999975</v>
      </c>
      <c r="E37" s="7"/>
      <c r="F37" s="7">
        <f t="shared" si="0"/>
        <v>9976.7199999999975</v>
      </c>
      <c r="G37" s="7">
        <f t="shared" si="1"/>
        <v>4872.6700000000019</v>
      </c>
      <c r="H37" s="7">
        <v>1302.57</v>
      </c>
      <c r="I37" s="7">
        <v>12904.189999999999</v>
      </c>
      <c r="J37" s="7">
        <v>10300.959999999999</v>
      </c>
      <c r="K37" s="7">
        <f t="shared" si="2"/>
        <v>3628.8999999999996</v>
      </c>
      <c r="L37" s="7">
        <v>1025.6699999999998</v>
      </c>
      <c r="M37" s="8">
        <f t="shared" si="5"/>
        <v>13225.504999999999</v>
      </c>
      <c r="N37" s="8">
        <f t="shared" si="34"/>
        <v>8974.7199999999975</v>
      </c>
      <c r="O37" s="7">
        <f t="shared" si="35"/>
        <v>4250.7850000000008</v>
      </c>
      <c r="P37" s="8">
        <f t="shared" si="36"/>
        <v>1164.1199999999999</v>
      </c>
      <c r="Q37" s="44">
        <v>28109.999999999953</v>
      </c>
      <c r="R37" s="47">
        <f>13700-T37</f>
        <v>12400.000000000004</v>
      </c>
      <c r="S37" s="44">
        <f>14410+T37</f>
        <v>15709.999999999996</v>
      </c>
      <c r="T37" s="49">
        <v>1299.9999999999961</v>
      </c>
      <c r="U37" s="149">
        <f t="shared" si="37"/>
        <v>14410</v>
      </c>
      <c r="V37" s="51">
        <f t="shared" si="38"/>
        <v>5461.2697697339681</v>
      </c>
      <c r="W37" s="42">
        <f t="shared" si="9"/>
        <v>4161.2697697339718</v>
      </c>
      <c r="X37" s="133">
        <f t="shared" si="39"/>
        <v>10248.730230266028</v>
      </c>
      <c r="Y37" s="51">
        <f t="shared" si="40"/>
        <v>3025.512864045716</v>
      </c>
      <c r="Z37" s="42">
        <f t="shared" si="41"/>
        <v>1725.5128640457199</v>
      </c>
      <c r="AA37" s="133">
        <f t="shared" si="42"/>
        <v>12684.487135954281</v>
      </c>
      <c r="AB37" s="51">
        <f t="shared" si="45"/>
        <v>14980.795639981945</v>
      </c>
      <c r="AC37" s="46">
        <f t="shared" si="46"/>
        <v>13680.795639981949</v>
      </c>
      <c r="AD37" s="133">
        <f t="shared" si="44"/>
        <v>729.20436001805137</v>
      </c>
      <c r="AE37" s="273"/>
      <c r="AF37" s="8"/>
      <c r="AG37" s="8"/>
      <c r="AH37" s="274"/>
      <c r="AK37" s="216"/>
      <c r="AQ37" s="8"/>
      <c r="BA37" s="166"/>
      <c r="BB37" s="177" t="s">
        <v>159</v>
      </c>
      <c r="BC37" s="178" t="s">
        <v>117</v>
      </c>
      <c r="BD37" s="179"/>
      <c r="BE37" s="179"/>
      <c r="BF37" s="180" t="s">
        <v>117</v>
      </c>
      <c r="BG37" s="181"/>
      <c r="BH37" s="182" t="s">
        <v>118</v>
      </c>
      <c r="BI37" s="170"/>
      <c r="BJ37" s="180" t="s">
        <v>120</v>
      </c>
      <c r="BK37" s="166"/>
      <c r="BM37" s="57">
        <v>1</v>
      </c>
      <c r="BN37" s="58">
        <f>1*1.05</f>
        <v>1.05</v>
      </c>
      <c r="BP37" s="186"/>
      <c r="BQ37" s="177" t="s">
        <v>164</v>
      </c>
      <c r="BR37" s="178" t="s">
        <v>117</v>
      </c>
      <c r="BS37" s="179"/>
      <c r="BT37" s="179"/>
      <c r="BU37" s="180" t="s">
        <v>117</v>
      </c>
      <c r="BV37" s="181"/>
      <c r="BW37" s="180" t="s">
        <v>118</v>
      </c>
      <c r="BX37" s="170"/>
      <c r="BY37" s="180" t="s">
        <v>120</v>
      </c>
      <c r="BZ37" s="166"/>
      <c r="CA37" s="186"/>
      <c r="CB37" s="199" t="s">
        <v>167</v>
      </c>
      <c r="CC37" s="182" t="s">
        <v>117</v>
      </c>
      <c r="CD37" s="200"/>
      <c r="CE37" s="197"/>
      <c r="CF37" s="180" t="s">
        <v>117</v>
      </c>
      <c r="CG37" s="170"/>
      <c r="CH37" s="180" t="s">
        <v>118</v>
      </c>
      <c r="CI37" s="170"/>
      <c r="CJ37" s="180" t="s">
        <v>120</v>
      </c>
      <c r="CK37" s="166"/>
      <c r="CL37" s="114"/>
      <c r="CM37" s="268"/>
      <c r="CN37" s="268"/>
      <c r="CO37" s="268"/>
      <c r="CP37" s="268"/>
      <c r="CQ37" s="268"/>
      <c r="CR37" s="1"/>
      <c r="CS37" s="268"/>
      <c r="CT37" s="1"/>
      <c r="CU37" s="268"/>
    </row>
    <row r="38" spans="1:100" ht="15" thickBot="1" x14ac:dyDescent="0.35">
      <c r="A38" s="4" t="s">
        <v>71</v>
      </c>
      <c r="B38" s="4" t="s">
        <v>81</v>
      </c>
      <c r="C38" s="7">
        <v>22395.409999999996</v>
      </c>
      <c r="D38" s="7">
        <v>21601.16</v>
      </c>
      <c r="E38" s="7"/>
      <c r="F38" s="7">
        <f t="shared" si="0"/>
        <v>21601.16</v>
      </c>
      <c r="G38" s="7">
        <f t="shared" si="1"/>
        <v>3014.2899999999963</v>
      </c>
      <c r="H38" s="7">
        <v>2220.04</v>
      </c>
      <c r="I38" s="7">
        <v>22588.46</v>
      </c>
      <c r="J38" s="7">
        <v>3241.79</v>
      </c>
      <c r="K38" s="7">
        <f t="shared" si="2"/>
        <v>21588.519999999997</v>
      </c>
      <c r="L38" s="7">
        <v>2241.8500000000004</v>
      </c>
      <c r="M38" s="8">
        <f t="shared" si="5"/>
        <v>22491.934999999998</v>
      </c>
      <c r="N38" s="8">
        <f t="shared" si="34"/>
        <v>10190.530000000001</v>
      </c>
      <c r="O38" s="7">
        <f t="shared" si="35"/>
        <v>12301.404999999997</v>
      </c>
      <c r="P38" s="8">
        <f t="shared" si="36"/>
        <v>2230.9450000000002</v>
      </c>
      <c r="Q38" s="44">
        <v>24999.999999999953</v>
      </c>
      <c r="R38" s="47">
        <f>22110-T38</f>
        <v>19610.000000000004</v>
      </c>
      <c r="S38" s="44">
        <f>2889.99999999997+T38</f>
        <v>5389.9999999999654</v>
      </c>
      <c r="T38" s="49">
        <v>2499.9999999999959</v>
      </c>
      <c r="U38" s="149">
        <f t="shared" si="37"/>
        <v>2889.9999999999695</v>
      </c>
      <c r="V38" s="51">
        <f t="shared" si="38"/>
        <v>4857.052445512244</v>
      </c>
      <c r="W38" s="42">
        <f t="shared" si="9"/>
        <v>2357.0524455122481</v>
      </c>
      <c r="X38" s="133">
        <f t="shared" si="39"/>
        <v>532.94755448772139</v>
      </c>
      <c r="Y38" s="51">
        <f t="shared" si="40"/>
        <v>4784.7021987045555</v>
      </c>
      <c r="Z38" s="42">
        <f t="shared" si="41"/>
        <v>2284.7021987045596</v>
      </c>
      <c r="AA38" s="133">
        <f t="shared" si="42"/>
        <v>605.29780129540995</v>
      </c>
      <c r="AB38" s="51">
        <f t="shared" si="45"/>
        <v>5139.814672151635</v>
      </c>
      <c r="AC38" s="46">
        <f t="shared" si="46"/>
        <v>2639.8146721516391</v>
      </c>
      <c r="AD38" s="133">
        <f t="shared" si="44"/>
        <v>250.18532784833042</v>
      </c>
      <c r="AE38" s="273"/>
      <c r="AF38" s="8"/>
      <c r="AG38" s="8"/>
      <c r="AH38" s="274"/>
      <c r="AK38" s="216"/>
      <c r="AQ38" s="8"/>
      <c r="BA38" s="187" t="s">
        <v>73</v>
      </c>
      <c r="BB38" s="56"/>
      <c r="BC38" s="56"/>
      <c r="BD38" s="55"/>
      <c r="BE38" s="55"/>
      <c r="BF38" s="56"/>
      <c r="BG38" s="55"/>
      <c r="BH38" s="56"/>
      <c r="BI38" s="55"/>
      <c r="BJ38" s="56"/>
      <c r="BK38" s="166"/>
      <c r="BM38" s="57">
        <f t="shared" ref="BM38:BM51" si="47">BM37+1</f>
        <v>2</v>
      </c>
      <c r="BN38" s="58">
        <f>(BN37+1)*1.05</f>
        <v>2.1524999999999999</v>
      </c>
      <c r="BP38" s="187" t="s">
        <v>73</v>
      </c>
      <c r="BQ38" s="56"/>
      <c r="BR38" s="56"/>
      <c r="BS38" s="55"/>
      <c r="BT38" s="55"/>
      <c r="BU38" s="56"/>
      <c r="BV38" s="55"/>
      <c r="BW38" s="56"/>
      <c r="BX38" s="55"/>
      <c r="BY38" s="56"/>
      <c r="BZ38" s="166"/>
      <c r="CA38" s="187" t="s">
        <v>73</v>
      </c>
      <c r="CB38" s="56"/>
      <c r="CC38" s="56"/>
      <c r="CD38" s="55"/>
      <c r="CE38" s="55"/>
      <c r="CF38" s="56"/>
      <c r="CG38" s="55"/>
      <c r="CH38" s="56"/>
      <c r="CI38" s="55"/>
      <c r="CJ38" s="56"/>
      <c r="CK38" s="166"/>
      <c r="CL38" s="286"/>
      <c r="CU38" s="273"/>
    </row>
    <row r="39" spans="1:100" x14ac:dyDescent="0.3">
      <c r="A39" s="4" t="s">
        <v>71</v>
      </c>
      <c r="B39" s="4" t="s">
        <v>82</v>
      </c>
      <c r="C39" s="7">
        <v>391034.61</v>
      </c>
      <c r="D39" s="7">
        <v>175429.79</v>
      </c>
      <c r="E39" s="7">
        <v>-5083</v>
      </c>
      <c r="F39" s="7">
        <f t="shared" si="0"/>
        <v>180512.79</v>
      </c>
      <c r="G39" s="7">
        <f t="shared" si="1"/>
        <v>212226.69999999998</v>
      </c>
      <c r="H39" s="7">
        <v>1704.88</v>
      </c>
      <c r="I39" s="7">
        <v>28392.069999999992</v>
      </c>
      <c r="J39" s="7">
        <v>10179.17</v>
      </c>
      <c r="K39" s="7">
        <f t="shared" si="2"/>
        <v>19809.769999999993</v>
      </c>
      <c r="L39" s="7">
        <v>1596.8700000000001</v>
      </c>
      <c r="M39" s="8">
        <f t="shared" si="5"/>
        <v>209713.34</v>
      </c>
      <c r="N39" s="8">
        <f t="shared" si="34"/>
        <v>93695.10500000001</v>
      </c>
      <c r="O39" s="7">
        <f t="shared" si="35"/>
        <v>116018.23499999999</v>
      </c>
      <c r="P39" s="8">
        <f t="shared" si="36"/>
        <v>1650.875</v>
      </c>
      <c r="Q39" s="44">
        <v>13800</v>
      </c>
      <c r="R39" s="47">
        <f>11600-T39</f>
        <v>10450</v>
      </c>
      <c r="S39" s="44">
        <f>2199.99999999999+T39</f>
        <v>3349.9999999999895</v>
      </c>
      <c r="T39" s="49">
        <v>1149.9999999999995</v>
      </c>
      <c r="U39" s="149">
        <f t="shared" si="37"/>
        <v>2199.99999999999</v>
      </c>
      <c r="V39" s="51">
        <f t="shared" si="38"/>
        <v>2681.0929499227636</v>
      </c>
      <c r="W39" s="42">
        <f t="shared" si="9"/>
        <v>1531.0929499227641</v>
      </c>
      <c r="X39" s="133">
        <f t="shared" si="39"/>
        <v>668.9070500772259</v>
      </c>
      <c r="Y39" s="51">
        <f t="shared" si="40"/>
        <v>2549.7265668772357</v>
      </c>
      <c r="Z39" s="42">
        <f t="shared" si="41"/>
        <v>1399.7265668772361</v>
      </c>
      <c r="AA39" s="133">
        <f t="shared" si="42"/>
        <v>800.27343312275389</v>
      </c>
      <c r="AB39" s="51">
        <f t="shared" si="45"/>
        <v>3194.50448083637</v>
      </c>
      <c r="AC39" s="46">
        <f t="shared" si="46"/>
        <v>2044.5044808363705</v>
      </c>
      <c r="AD39" s="133">
        <f t="shared" si="44"/>
        <v>155.49551916361952</v>
      </c>
      <c r="AE39" s="273"/>
      <c r="AF39" s="8"/>
      <c r="AG39" s="8"/>
      <c r="AH39" s="274"/>
      <c r="AK39" s="216"/>
      <c r="AQ39" s="8"/>
      <c r="BA39" s="187" t="s">
        <v>74</v>
      </c>
      <c r="BB39" s="206">
        <f>Q31</f>
        <v>10500</v>
      </c>
      <c r="BC39" s="206">
        <f>T31</f>
        <v>1050</v>
      </c>
      <c r="BD39" s="203"/>
      <c r="BE39" s="204"/>
      <c r="BF39" s="206">
        <f>V31</f>
        <v>2039.9620271151464</v>
      </c>
      <c r="BG39" s="203"/>
      <c r="BH39" s="206">
        <f>W31</f>
        <v>989.96202711514638</v>
      </c>
      <c r="BI39" s="203"/>
      <c r="BJ39" s="206" t="s">
        <v>181</v>
      </c>
      <c r="BK39" s="171" t="s">
        <v>188</v>
      </c>
      <c r="BM39" s="57">
        <f t="shared" si="47"/>
        <v>3</v>
      </c>
      <c r="BN39" s="58">
        <f t="shared" ref="BN39:BN51" si="48">(BN38+1)*1.05</f>
        <v>3.3101250000000002</v>
      </c>
      <c r="BP39" s="187" t="s">
        <v>74</v>
      </c>
      <c r="BQ39" s="185">
        <f>R31</f>
        <v>6615</v>
      </c>
      <c r="BR39" s="185">
        <f>BC39</f>
        <v>1050</v>
      </c>
      <c r="BS39" s="166"/>
      <c r="BT39" s="184"/>
      <c r="BU39" s="185">
        <f>Y31</f>
        <v>1614.0135157792263</v>
      </c>
      <c r="BV39" s="166"/>
      <c r="BW39" s="185">
        <f>Z31</f>
        <v>564.01351577922628</v>
      </c>
      <c r="BX39" s="166"/>
      <c r="BY39" s="206" t="s">
        <v>181</v>
      </c>
      <c r="BZ39" s="171" t="s">
        <v>188</v>
      </c>
      <c r="CA39" s="187" t="s">
        <v>74</v>
      </c>
      <c r="CB39" s="185">
        <f>S31</f>
        <v>3885</v>
      </c>
      <c r="CC39" s="185">
        <f>BR39</f>
        <v>1050</v>
      </c>
      <c r="CD39" s="166"/>
      <c r="CE39" s="184"/>
      <c r="CF39" s="185">
        <f>AB31</f>
        <v>3704.6716143430854</v>
      </c>
      <c r="CG39" s="166"/>
      <c r="CH39" s="185">
        <f>AC31</f>
        <v>2654.6716143430854</v>
      </c>
      <c r="CI39" s="166"/>
      <c r="CJ39" s="262" t="s">
        <v>181</v>
      </c>
      <c r="CK39" s="283" t="s">
        <v>188</v>
      </c>
      <c r="CL39" s="286"/>
      <c r="CM39" s="8"/>
      <c r="CN39" s="8"/>
      <c r="CQ39" s="8"/>
      <c r="CS39" s="8"/>
      <c r="CU39" s="288"/>
      <c r="CV39" s="268"/>
    </row>
    <row r="40" spans="1:100" x14ac:dyDescent="0.3">
      <c r="A40" s="4" t="s">
        <v>71</v>
      </c>
      <c r="B40" s="4" t="s">
        <v>83</v>
      </c>
      <c r="C40" s="7">
        <v>9000</v>
      </c>
      <c r="D40" s="7">
        <v>1415.7400000000005</v>
      </c>
      <c r="E40" s="7"/>
      <c r="F40" s="7">
        <f t="shared" si="0"/>
        <v>1415.7400000000005</v>
      </c>
      <c r="G40" s="7">
        <f t="shared" si="1"/>
        <v>8482.2599999999984</v>
      </c>
      <c r="H40" s="7">
        <v>898</v>
      </c>
      <c r="I40" s="7">
        <v>8510.51</v>
      </c>
      <c r="J40" s="7">
        <v>2778.1499999999996</v>
      </c>
      <c r="K40" s="7">
        <f t="shared" si="2"/>
        <v>6577.42</v>
      </c>
      <c r="L40" s="7">
        <v>845.06</v>
      </c>
      <c r="M40" s="8">
        <f t="shared" si="5"/>
        <v>8755.255000000001</v>
      </c>
      <c r="N40" s="8">
        <f t="shared" si="34"/>
        <v>1225.4150000000002</v>
      </c>
      <c r="O40" s="7">
        <f t="shared" si="35"/>
        <v>7529.8399999999992</v>
      </c>
      <c r="P40" s="8">
        <f t="shared" si="36"/>
        <v>871.53</v>
      </c>
      <c r="Q40" s="44">
        <v>7500</v>
      </c>
      <c r="R40" s="47">
        <v>5328</v>
      </c>
      <c r="S40" s="44">
        <f>2172+T40</f>
        <v>2922</v>
      </c>
      <c r="T40" s="49">
        <v>750</v>
      </c>
      <c r="U40" s="149">
        <f t="shared" si="37"/>
        <v>2172</v>
      </c>
      <c r="V40" s="51">
        <f t="shared" si="38"/>
        <v>1457.115733653676</v>
      </c>
      <c r="W40" s="42">
        <f t="shared" si="9"/>
        <v>707.11573365367599</v>
      </c>
      <c r="X40" s="133">
        <f t="shared" si="39"/>
        <v>1464.884266346324</v>
      </c>
      <c r="Y40" s="51">
        <f t="shared" si="40"/>
        <v>1299.99455964803</v>
      </c>
      <c r="Z40" s="42">
        <f t="shared" si="41"/>
        <v>549.99455964802996</v>
      </c>
      <c r="AA40" s="133">
        <f t="shared" si="42"/>
        <v>1622.00544035197</v>
      </c>
      <c r="AB40" s="51">
        <f t="shared" si="45"/>
        <v>2786.3707740310156</v>
      </c>
      <c r="AC40" s="46">
        <f t="shared" si="46"/>
        <v>2036.3707740310156</v>
      </c>
      <c r="AD40" s="133">
        <f t="shared" si="44"/>
        <v>135.62922596898443</v>
      </c>
      <c r="AE40" s="273"/>
      <c r="AF40" s="8"/>
      <c r="AG40" s="8"/>
      <c r="AH40" s="274"/>
      <c r="AK40" s="216"/>
      <c r="AQ40" s="8"/>
      <c r="BA40" s="187" t="s">
        <v>75</v>
      </c>
      <c r="BB40" s="206">
        <f t="shared" ref="BB40:BB56" si="49">Q32</f>
        <v>18199.999999999964</v>
      </c>
      <c r="BC40" s="206">
        <f t="shared" ref="BC40:BC56" si="50">T32</f>
        <v>1700.0000000000039</v>
      </c>
      <c r="BD40" s="203"/>
      <c r="BE40" s="204"/>
      <c r="BF40" s="206">
        <f t="shared" ref="BF40:BF56" si="51">V32</f>
        <v>3535.9341803329135</v>
      </c>
      <c r="BG40" s="203"/>
      <c r="BH40" s="206">
        <f t="shared" ref="BH40:BH56" si="52">W32</f>
        <v>1835.9341803329096</v>
      </c>
      <c r="BI40" s="203"/>
      <c r="BJ40" s="206">
        <f t="shared" ref="BJ40:BJ56" si="53">((O32-P32)*0.25)*$BN$51</f>
        <v>40432.492312404283</v>
      </c>
      <c r="BK40" s="176" t="s">
        <v>171</v>
      </c>
      <c r="BM40" s="57">
        <f t="shared" si="47"/>
        <v>4</v>
      </c>
      <c r="BN40" s="58">
        <f t="shared" si="48"/>
        <v>4.52563125</v>
      </c>
      <c r="BP40" s="187" t="s">
        <v>75</v>
      </c>
      <c r="BQ40" s="185">
        <f t="shared" ref="BQ40:BQ56" si="54">R32</f>
        <v>15786.999999999996</v>
      </c>
      <c r="BR40" s="185">
        <f t="shared" ref="BR40:BR56" si="55">BC40</f>
        <v>1700.0000000000039</v>
      </c>
      <c r="BS40" s="166"/>
      <c r="BT40" s="184"/>
      <c r="BU40" s="185">
        <f t="shared" ref="BU40:BU56" si="56">Y32</f>
        <v>3851.9170632814271</v>
      </c>
      <c r="BV40" s="166"/>
      <c r="BW40" s="185">
        <f t="shared" ref="BW40:BW56" si="57">Z32</f>
        <v>2151.917063281423</v>
      </c>
      <c r="BX40" s="166"/>
      <c r="BY40" s="206">
        <f t="shared" ref="BY40:BY56" si="58">((O32-P32)*0.25)*$BN$51</f>
        <v>40432.492312404283</v>
      </c>
      <c r="BZ40" s="176" t="s">
        <v>171</v>
      </c>
      <c r="CA40" s="187" t="s">
        <v>75</v>
      </c>
      <c r="CB40" s="185">
        <f t="shared" ref="CB40:CB56" si="59">S32</f>
        <v>2412.9999999999568</v>
      </c>
      <c r="CC40" s="185">
        <f t="shared" ref="CC40:CC56" si="60">BR40</f>
        <v>1700.0000000000039</v>
      </c>
      <c r="CD40" s="166"/>
      <c r="CE40" s="184"/>
      <c r="CF40" s="185">
        <f t="shared" ref="CF40:CF56" si="61">AB32</f>
        <v>2300.9968096292678</v>
      </c>
      <c r="CG40" s="166"/>
      <c r="CH40" s="185">
        <f t="shared" ref="CH40:CH56" si="62">AC32</f>
        <v>600.99680962926391</v>
      </c>
      <c r="CI40" s="166"/>
      <c r="CJ40" s="206">
        <f t="shared" ref="CJ40:CJ56" si="63">((O32-P32)*0.25)*$BN$51</f>
        <v>40432.492312404283</v>
      </c>
      <c r="CK40" s="284" t="s">
        <v>171</v>
      </c>
      <c r="CL40" s="286"/>
      <c r="CM40" s="8"/>
      <c r="CN40" s="8"/>
      <c r="CQ40" s="8"/>
      <c r="CS40" s="8"/>
      <c r="CU40" s="209"/>
      <c r="CV40" s="268"/>
    </row>
    <row r="41" spans="1:100" x14ac:dyDescent="0.3">
      <c r="A41" s="4" t="s">
        <v>71</v>
      </c>
      <c r="B41" s="4" t="s">
        <v>84</v>
      </c>
      <c r="C41" s="7">
        <v>6588.34</v>
      </c>
      <c r="D41" s="7">
        <v>2066.96</v>
      </c>
      <c r="E41" s="7"/>
      <c r="F41" s="7">
        <f t="shared" si="0"/>
        <v>2066.96</v>
      </c>
      <c r="G41" s="7">
        <f t="shared" si="1"/>
        <v>5157.22</v>
      </c>
      <c r="H41" s="7">
        <v>635.84</v>
      </c>
      <c r="I41" s="7">
        <v>7457.68</v>
      </c>
      <c r="J41" s="7">
        <v>2924.89</v>
      </c>
      <c r="K41" s="7">
        <f t="shared" si="2"/>
        <v>5262.0600000000013</v>
      </c>
      <c r="L41" s="7">
        <v>729.27</v>
      </c>
      <c r="M41" s="8">
        <f t="shared" si="5"/>
        <v>7023.01</v>
      </c>
      <c r="N41" s="8">
        <f t="shared" si="34"/>
        <v>1813.3700000000001</v>
      </c>
      <c r="O41" s="7">
        <f t="shared" si="35"/>
        <v>5209.6400000000012</v>
      </c>
      <c r="P41" s="8">
        <f t="shared" si="36"/>
        <v>682.55500000000006</v>
      </c>
      <c r="Q41" s="44">
        <v>5499.9999999999955</v>
      </c>
      <c r="R41" s="47">
        <f>5265-T41</f>
        <v>4715</v>
      </c>
      <c r="S41" s="44">
        <f>234.999999999996+T41</f>
        <v>784.99999999999568</v>
      </c>
      <c r="T41" s="49">
        <v>549.99999999999966</v>
      </c>
      <c r="U41" s="149">
        <f t="shared" si="37"/>
        <v>234.99999999999602</v>
      </c>
      <c r="V41" s="51">
        <f t="shared" si="38"/>
        <v>1068.5515380126949</v>
      </c>
      <c r="W41" s="42">
        <f t="shared" si="9"/>
        <v>518.55153801269523</v>
      </c>
      <c r="X41" s="133">
        <f t="shared" si="39"/>
        <v>-283.55153801269921</v>
      </c>
      <c r="Y41" s="51">
        <f t="shared" si="40"/>
        <v>1150.4268672560925</v>
      </c>
      <c r="Z41" s="42">
        <f t="shared" si="41"/>
        <v>600.42686725609281</v>
      </c>
      <c r="AA41" s="133">
        <f t="shared" si="42"/>
        <v>-365.42686725609678</v>
      </c>
      <c r="AB41" s="51">
        <f t="shared" si="45"/>
        <v>748.56299028553565</v>
      </c>
      <c r="AC41" s="46">
        <f t="shared" si="46"/>
        <v>198.56299028553599</v>
      </c>
      <c r="AD41" s="133">
        <f t="shared" si="44"/>
        <v>36.437009714460032</v>
      </c>
      <c r="AE41" s="273"/>
      <c r="AF41" s="8"/>
      <c r="AG41" s="8"/>
      <c r="AH41" s="274"/>
      <c r="AK41" s="216"/>
      <c r="AQ41" s="8"/>
      <c r="BA41" s="187" t="s">
        <v>76</v>
      </c>
      <c r="BB41" s="206">
        <f t="shared" si="49"/>
        <v>8893.0000000000055</v>
      </c>
      <c r="BC41" s="206">
        <f t="shared" si="50"/>
        <v>800.00000000000057</v>
      </c>
      <c r="BD41" s="203"/>
      <c r="BE41" s="204"/>
      <c r="BF41" s="206">
        <f t="shared" si="51"/>
        <v>1727.7506959176199</v>
      </c>
      <c r="BG41" s="203"/>
      <c r="BH41" s="206">
        <f t="shared" si="52"/>
        <v>927.75069591761928</v>
      </c>
      <c r="BI41" s="203"/>
      <c r="BJ41" s="252">
        <f t="shared" si="53"/>
        <v>54013.166303009253</v>
      </c>
      <c r="BK41" s="176" t="s">
        <v>204</v>
      </c>
      <c r="BM41" s="57">
        <f t="shared" si="47"/>
        <v>5</v>
      </c>
      <c r="BN41" s="58">
        <f t="shared" si="48"/>
        <v>5.8019128125000003</v>
      </c>
      <c r="BP41" s="187" t="s">
        <v>76</v>
      </c>
      <c r="BQ41" s="185">
        <f t="shared" si="54"/>
        <v>8949.9999999999909</v>
      </c>
      <c r="BR41" s="185">
        <f t="shared" si="55"/>
        <v>800.00000000000057</v>
      </c>
      <c r="BS41" s="166"/>
      <c r="BT41" s="184"/>
      <c r="BU41" s="185">
        <f t="shared" si="56"/>
        <v>2183.7371075168649</v>
      </c>
      <c r="BV41" s="166"/>
      <c r="BW41" s="185">
        <f t="shared" si="57"/>
        <v>1383.7371075168644</v>
      </c>
      <c r="BX41" s="166"/>
      <c r="BY41" s="252">
        <f t="shared" si="58"/>
        <v>54013.166303009253</v>
      </c>
      <c r="BZ41" s="176" t="s">
        <v>203</v>
      </c>
      <c r="CA41" s="253" t="s">
        <v>76</v>
      </c>
      <c r="CB41" s="185">
        <f t="shared" si="59"/>
        <v>-56.999999999996476</v>
      </c>
      <c r="CC41" s="185">
        <f t="shared" si="60"/>
        <v>800.00000000000057</v>
      </c>
      <c r="CD41" s="166"/>
      <c r="CE41" s="184"/>
      <c r="CF41" s="201">
        <f t="shared" si="61"/>
        <v>0</v>
      </c>
      <c r="CG41" s="166"/>
      <c r="CH41" s="185">
        <f t="shared" si="62"/>
        <v>-800.00000000000057</v>
      </c>
      <c r="CI41" s="166"/>
      <c r="CJ41" s="252">
        <f t="shared" si="63"/>
        <v>54013.166303009253</v>
      </c>
      <c r="CK41" s="284" t="s">
        <v>203</v>
      </c>
      <c r="CL41" s="286"/>
      <c r="CM41" s="8"/>
      <c r="CN41" s="8"/>
      <c r="CQ41" s="276"/>
      <c r="CS41" s="8"/>
      <c r="CU41" s="209"/>
      <c r="CV41" s="268"/>
    </row>
    <row r="42" spans="1:100" x14ac:dyDescent="0.3">
      <c r="A42" s="4" t="s">
        <v>71</v>
      </c>
      <c r="B42" s="4" t="s">
        <v>85</v>
      </c>
      <c r="C42" s="7">
        <v>7167.1699999999992</v>
      </c>
      <c r="D42" s="7">
        <v>4598.9299999999994</v>
      </c>
      <c r="E42" s="7"/>
      <c r="F42" s="7">
        <f t="shared" si="0"/>
        <v>4598.9299999999994</v>
      </c>
      <c r="G42" s="7">
        <f t="shared" si="1"/>
        <v>3267.79</v>
      </c>
      <c r="H42" s="7">
        <v>699.55</v>
      </c>
      <c r="I42" s="7">
        <v>7682.9800000000005</v>
      </c>
      <c r="J42" s="7">
        <v>6013.7600000000011</v>
      </c>
      <c r="K42" s="7">
        <f t="shared" si="2"/>
        <v>2426.1699999999992</v>
      </c>
      <c r="L42" s="7">
        <v>756.94999999999993</v>
      </c>
      <c r="M42" s="8">
        <f t="shared" si="5"/>
        <v>7425.0749999999998</v>
      </c>
      <c r="N42" s="8">
        <f t="shared" si="34"/>
        <v>4578.0950000000003</v>
      </c>
      <c r="O42" s="7">
        <f t="shared" si="35"/>
        <v>2846.9799999999996</v>
      </c>
      <c r="P42" s="8">
        <f t="shared" si="36"/>
        <v>728.25</v>
      </c>
      <c r="Q42" s="44">
        <v>7699.9999999999964</v>
      </c>
      <c r="R42" s="47">
        <f>4985-T42</f>
        <v>4285</v>
      </c>
      <c r="S42" s="44">
        <f>2715+T42</f>
        <v>3414.9999999999995</v>
      </c>
      <c r="T42" s="49">
        <v>699.99999999999955</v>
      </c>
      <c r="U42" s="149">
        <f t="shared" si="37"/>
        <v>2715</v>
      </c>
      <c r="V42" s="51">
        <f t="shared" si="38"/>
        <v>1495.9721532177734</v>
      </c>
      <c r="W42" s="42">
        <f t="shared" si="9"/>
        <v>795.97215321777389</v>
      </c>
      <c r="X42" s="133">
        <f t="shared" si="39"/>
        <v>1919.0278467822261</v>
      </c>
      <c r="Y42" s="51">
        <f t="shared" si="40"/>
        <v>1045.5098889061201</v>
      </c>
      <c r="Z42" s="42">
        <f t="shared" si="41"/>
        <v>345.50988890612052</v>
      </c>
      <c r="AA42" s="133">
        <f t="shared" si="42"/>
        <v>2369.4901110938795</v>
      </c>
      <c r="AB42" s="51">
        <f t="shared" si="45"/>
        <v>3256.4874035988764</v>
      </c>
      <c r="AC42" s="46">
        <f t="shared" si="46"/>
        <v>2556.4874035988769</v>
      </c>
      <c r="AD42" s="133">
        <f t="shared" si="44"/>
        <v>158.51259640112312</v>
      </c>
      <c r="AE42" s="273"/>
      <c r="AF42" s="8"/>
      <c r="AG42" s="8"/>
      <c r="AH42" s="274"/>
      <c r="AK42" s="216"/>
      <c r="AQ42" s="8"/>
      <c r="BA42" s="187" t="s">
        <v>77</v>
      </c>
      <c r="BB42" s="206">
        <f t="shared" si="49"/>
        <v>14400</v>
      </c>
      <c r="BC42" s="206">
        <f t="shared" si="50"/>
        <v>1400.0000000000039</v>
      </c>
      <c r="BD42" s="203"/>
      <c r="BE42" s="204"/>
      <c r="BF42" s="206">
        <f t="shared" si="51"/>
        <v>2797.6622086150578</v>
      </c>
      <c r="BG42" s="203"/>
      <c r="BH42" s="206">
        <f t="shared" si="52"/>
        <v>1397.6622086150539</v>
      </c>
      <c r="BI42" s="203"/>
      <c r="BJ42" s="252">
        <f t="shared" si="53"/>
        <v>52992.701195659531</v>
      </c>
      <c r="BK42" s="176" t="s">
        <v>183</v>
      </c>
      <c r="BM42" s="57">
        <f t="shared" si="47"/>
        <v>6</v>
      </c>
      <c r="BN42" s="58">
        <f t="shared" si="48"/>
        <v>7.1420084531250003</v>
      </c>
      <c r="BP42" s="187" t="s">
        <v>77</v>
      </c>
      <c r="BQ42" s="185">
        <f t="shared" si="54"/>
        <v>12521.999999999996</v>
      </c>
      <c r="BR42" s="185">
        <f t="shared" si="55"/>
        <v>1400.0000000000039</v>
      </c>
      <c r="BS42" s="166"/>
      <c r="BT42" s="184"/>
      <c r="BU42" s="185">
        <f t="shared" si="56"/>
        <v>3055.2800067403577</v>
      </c>
      <c r="BV42" s="166"/>
      <c r="BW42" s="185">
        <f t="shared" si="57"/>
        <v>1655.2800067403539</v>
      </c>
      <c r="BX42" s="166"/>
      <c r="BY42" s="252">
        <f t="shared" si="58"/>
        <v>52992.701195659531</v>
      </c>
      <c r="BZ42" s="176" t="s">
        <v>183</v>
      </c>
      <c r="CA42" s="253" t="s">
        <v>77</v>
      </c>
      <c r="CB42" s="185">
        <f t="shared" si="59"/>
        <v>1877.9999999999918</v>
      </c>
      <c r="CC42" s="185">
        <f t="shared" si="60"/>
        <v>1400.0000000000039</v>
      </c>
      <c r="CD42" s="166"/>
      <c r="CE42" s="184"/>
      <c r="CF42" s="185">
        <f t="shared" si="61"/>
        <v>1790.8296761225956</v>
      </c>
      <c r="CG42" s="166"/>
      <c r="CH42" s="185">
        <f t="shared" si="62"/>
        <v>390.82967612259176</v>
      </c>
      <c r="CI42" s="166"/>
      <c r="CJ42" s="252">
        <f t="shared" si="63"/>
        <v>52992.701195659531</v>
      </c>
      <c r="CK42" s="284" t="s">
        <v>183</v>
      </c>
      <c r="CL42" s="286"/>
      <c r="CM42" s="8"/>
      <c r="CN42" s="8"/>
      <c r="CQ42" s="8"/>
      <c r="CS42" s="8"/>
      <c r="CU42" s="209"/>
      <c r="CV42" s="268"/>
    </row>
    <row r="43" spans="1:100" x14ac:dyDescent="0.3">
      <c r="A43" s="4" t="s">
        <v>71</v>
      </c>
      <c r="B43" s="4" t="s">
        <v>86</v>
      </c>
      <c r="C43" s="7">
        <v>5626.2399999999989</v>
      </c>
      <c r="D43" s="7">
        <v>4109.97</v>
      </c>
      <c r="E43" s="7"/>
      <c r="F43" s="7">
        <f t="shared" si="0"/>
        <v>4109.97</v>
      </c>
      <c r="G43" s="7">
        <f t="shared" si="1"/>
        <v>2057.8899999999985</v>
      </c>
      <c r="H43" s="7">
        <v>541.62</v>
      </c>
      <c r="I43" s="7">
        <v>5263.82</v>
      </c>
      <c r="J43" s="7">
        <v>1621.2900000000002</v>
      </c>
      <c r="K43" s="7">
        <f t="shared" si="2"/>
        <v>4166.42</v>
      </c>
      <c r="L43" s="7">
        <v>523.89</v>
      </c>
      <c r="M43" s="8">
        <f t="shared" si="5"/>
        <v>5445.0299999999988</v>
      </c>
      <c r="N43" s="8">
        <f t="shared" si="34"/>
        <v>2332.875</v>
      </c>
      <c r="O43" s="7">
        <f t="shared" si="35"/>
        <v>3112.1549999999993</v>
      </c>
      <c r="P43" s="8">
        <f t="shared" si="36"/>
        <v>532.755</v>
      </c>
      <c r="Q43" s="44">
        <v>5499.9999999999991</v>
      </c>
      <c r="R43" s="47">
        <v>5247</v>
      </c>
      <c r="S43" s="44">
        <f>253+T43</f>
        <v>703</v>
      </c>
      <c r="T43" s="49">
        <v>450</v>
      </c>
      <c r="U43" s="149">
        <f t="shared" si="37"/>
        <v>253</v>
      </c>
      <c r="V43" s="51">
        <f t="shared" si="38"/>
        <v>1068.5515380126956</v>
      </c>
      <c r="W43" s="42">
        <f t="shared" si="9"/>
        <v>618.55153801269557</v>
      </c>
      <c r="X43" s="133">
        <f t="shared" si="39"/>
        <v>-365.55153801269557</v>
      </c>
      <c r="Y43" s="51">
        <f t="shared" si="40"/>
        <v>1280.2311288425699</v>
      </c>
      <c r="Z43" s="42">
        <f t="shared" si="41"/>
        <v>830.23112884256989</v>
      </c>
      <c r="AA43" s="133">
        <f t="shared" si="42"/>
        <v>-577.23112884256989</v>
      </c>
      <c r="AB43" s="51">
        <f t="shared" si="45"/>
        <v>670.36914926208215</v>
      </c>
      <c r="AC43" s="46">
        <f t="shared" si="46"/>
        <v>220.36914926208215</v>
      </c>
      <c r="AD43" s="133">
        <f t="shared" si="44"/>
        <v>32.630850737917854</v>
      </c>
      <c r="AE43" s="273"/>
      <c r="AF43" s="8"/>
      <c r="AG43" s="8"/>
      <c r="AH43" s="274"/>
      <c r="AK43" s="216"/>
      <c r="AQ43" s="8"/>
      <c r="BA43" s="187" t="s">
        <v>78</v>
      </c>
      <c r="BB43" s="206">
        <f t="shared" si="49"/>
        <v>8499.9999999999964</v>
      </c>
      <c r="BC43" s="206">
        <f t="shared" si="50"/>
        <v>849.99999999999943</v>
      </c>
      <c r="BD43" s="203"/>
      <c r="BE43" s="204"/>
      <c r="BF43" s="206">
        <f t="shared" si="51"/>
        <v>1651.3978314741655</v>
      </c>
      <c r="BG43" s="203"/>
      <c r="BH43" s="206">
        <f t="shared" si="52"/>
        <v>801.39783147416608</v>
      </c>
      <c r="BI43" s="203"/>
      <c r="BJ43" s="252">
        <f t="shared" si="53"/>
        <v>45581.435638464878</v>
      </c>
      <c r="BK43" s="176" t="s">
        <v>184</v>
      </c>
      <c r="BM43" s="57">
        <f t="shared" si="47"/>
        <v>7</v>
      </c>
      <c r="BN43" s="58">
        <f t="shared" si="48"/>
        <v>8.5491088757812523</v>
      </c>
      <c r="BP43" s="187" t="s">
        <v>78</v>
      </c>
      <c r="BQ43" s="185">
        <f t="shared" si="54"/>
        <v>6328.0000000000009</v>
      </c>
      <c r="BR43" s="185">
        <f t="shared" si="55"/>
        <v>849.99999999999943</v>
      </c>
      <c r="BS43" s="166"/>
      <c r="BT43" s="184"/>
      <c r="BU43" s="185">
        <f t="shared" si="56"/>
        <v>1543.9875325549426</v>
      </c>
      <c r="BV43" s="166"/>
      <c r="BW43" s="185">
        <f t="shared" si="57"/>
        <v>693.98753255494319</v>
      </c>
      <c r="BX43" s="166"/>
      <c r="BY43" s="252">
        <f t="shared" si="58"/>
        <v>45581.435638464878</v>
      </c>
      <c r="BZ43" s="176" t="s">
        <v>184</v>
      </c>
      <c r="CA43" s="253" t="s">
        <v>78</v>
      </c>
      <c r="CB43" s="185">
        <f t="shared" si="59"/>
        <v>2171.9999999999995</v>
      </c>
      <c r="CC43" s="185">
        <f t="shared" si="60"/>
        <v>849.99999999999943</v>
      </c>
      <c r="CD43" s="166"/>
      <c r="CE43" s="184"/>
      <c r="CF43" s="185">
        <f t="shared" si="61"/>
        <v>2071.183203694512</v>
      </c>
      <c r="CG43" s="166"/>
      <c r="CH43" s="185">
        <f t="shared" si="62"/>
        <v>1221.1832036945125</v>
      </c>
      <c r="CI43" s="166"/>
      <c r="CJ43" s="252">
        <f t="shared" si="63"/>
        <v>45581.435638464878</v>
      </c>
      <c r="CK43" s="284" t="s">
        <v>184</v>
      </c>
      <c r="CL43" s="286"/>
      <c r="CM43" s="8"/>
      <c r="CN43" s="8"/>
      <c r="CQ43" s="8"/>
      <c r="CS43" s="8"/>
      <c r="CU43" s="209"/>
      <c r="CV43" s="268"/>
    </row>
    <row r="44" spans="1:100" x14ac:dyDescent="0.3">
      <c r="A44" s="4" t="s">
        <v>71</v>
      </c>
      <c r="B44" s="4" t="s">
        <v>87</v>
      </c>
      <c r="C44" s="7">
        <v>101383.76000000001</v>
      </c>
      <c r="D44" s="7">
        <v>39360.990000000013</v>
      </c>
      <c r="E44" s="7"/>
      <c r="F44" s="7">
        <f t="shared" si="0"/>
        <v>39360.990000000013</v>
      </c>
      <c r="G44" s="7">
        <f t="shared" si="1"/>
        <v>63707.829999999994</v>
      </c>
      <c r="H44" s="7">
        <v>1685.0600000000002</v>
      </c>
      <c r="I44" s="7">
        <v>46110.74</v>
      </c>
      <c r="J44" s="7">
        <v>36542.899999999987</v>
      </c>
      <c r="K44" s="7">
        <f t="shared" si="2"/>
        <v>11332.990000000011</v>
      </c>
      <c r="L44" s="7">
        <v>1765.15</v>
      </c>
      <c r="M44" s="8">
        <f t="shared" si="5"/>
        <v>73747.25</v>
      </c>
      <c r="N44" s="8">
        <f t="shared" si="34"/>
        <v>36226.839999999997</v>
      </c>
      <c r="O44" s="7">
        <f t="shared" si="35"/>
        <v>37520.410000000003</v>
      </c>
      <c r="P44" s="8">
        <f t="shared" si="36"/>
        <v>1725.105</v>
      </c>
      <c r="Q44" s="44">
        <v>78000</v>
      </c>
      <c r="R44" s="47">
        <f>37150-T44</f>
        <v>35550.000000000007</v>
      </c>
      <c r="S44" s="44">
        <f>40850+T44</f>
        <v>42449.999999999993</v>
      </c>
      <c r="T44" s="49">
        <v>1599.9999999999959</v>
      </c>
      <c r="U44" s="149">
        <f t="shared" si="37"/>
        <v>40850</v>
      </c>
      <c r="V44" s="51">
        <f t="shared" si="38"/>
        <v>15154.003629998231</v>
      </c>
      <c r="W44" s="42">
        <f t="shared" si="9"/>
        <v>13554.003629998235</v>
      </c>
      <c r="X44" s="133">
        <f t="shared" si="39"/>
        <v>27295.996370001762</v>
      </c>
      <c r="Y44" s="51">
        <f t="shared" si="40"/>
        <v>8673.9501868407424</v>
      </c>
      <c r="Z44" s="42">
        <f t="shared" si="41"/>
        <v>7073.950186840746</v>
      </c>
      <c r="AA44" s="133">
        <f t="shared" si="42"/>
        <v>33776.049813159247</v>
      </c>
      <c r="AB44" s="51">
        <f t="shared" si="45"/>
        <v>40479.616481046061</v>
      </c>
      <c r="AC44" s="46">
        <f t="shared" si="46"/>
        <v>38879.616481046069</v>
      </c>
      <c r="AD44" s="133">
        <f t="shared" si="44"/>
        <v>1970.3835189539313</v>
      </c>
      <c r="AE44" s="273"/>
      <c r="AF44" s="8"/>
      <c r="AG44" s="8"/>
      <c r="AH44" s="274"/>
      <c r="AK44" s="216"/>
      <c r="AQ44" s="8"/>
      <c r="BA44" s="187" t="s">
        <v>79</v>
      </c>
      <c r="BB44" s="206">
        <f t="shared" si="49"/>
        <v>6899.9999999999973</v>
      </c>
      <c r="BC44" s="206">
        <f t="shared" si="50"/>
        <v>579.99999999999966</v>
      </c>
      <c r="BD44" s="203"/>
      <c r="BE44" s="204"/>
      <c r="BF44" s="206">
        <f t="shared" si="51"/>
        <v>1340.5464749613814</v>
      </c>
      <c r="BG44" s="203"/>
      <c r="BH44" s="206">
        <f t="shared" si="52"/>
        <v>760.5464749613817</v>
      </c>
      <c r="BI44" s="203"/>
      <c r="BJ44" s="252">
        <f t="shared" si="53"/>
        <v>13250.837554197573</v>
      </c>
      <c r="BK44" s="176" t="s">
        <v>185</v>
      </c>
      <c r="BM44" s="57">
        <f t="shared" si="47"/>
        <v>8</v>
      </c>
      <c r="BN44" s="58">
        <f t="shared" si="48"/>
        <v>10.026564319570316</v>
      </c>
      <c r="BP44" s="187" t="s">
        <v>79</v>
      </c>
      <c r="BQ44" s="185">
        <f t="shared" si="54"/>
        <v>6577</v>
      </c>
      <c r="BR44" s="185">
        <f t="shared" si="55"/>
        <v>579.99999999999966</v>
      </c>
      <c r="BS44" s="166"/>
      <c r="BT44" s="184"/>
      <c r="BU44" s="185">
        <f t="shared" si="56"/>
        <v>1604.7417828087637</v>
      </c>
      <c r="BV44" s="166"/>
      <c r="BW44" s="185">
        <f t="shared" si="57"/>
        <v>1024.7417828087641</v>
      </c>
      <c r="BX44" s="166"/>
      <c r="BY44" s="252">
        <f t="shared" si="58"/>
        <v>13250.837554197573</v>
      </c>
      <c r="BZ44" s="176" t="s">
        <v>185</v>
      </c>
      <c r="CA44" s="253" t="s">
        <v>79</v>
      </c>
      <c r="CB44" s="185">
        <f t="shared" si="59"/>
        <v>322.99999999999568</v>
      </c>
      <c r="CC44" s="185">
        <f t="shared" si="60"/>
        <v>579.99999999999966</v>
      </c>
      <c r="CD44" s="166"/>
      <c r="CE44" s="184"/>
      <c r="CF44" s="185">
        <f t="shared" si="61"/>
        <v>308.00744695824983</v>
      </c>
      <c r="CG44" s="166"/>
      <c r="CH44" s="185">
        <f t="shared" si="62"/>
        <v>-271.99255304174983</v>
      </c>
      <c r="CI44" s="166"/>
      <c r="CJ44" s="252">
        <f t="shared" si="63"/>
        <v>13250.837554197573</v>
      </c>
      <c r="CK44" s="284" t="s">
        <v>185</v>
      </c>
      <c r="CL44" s="286"/>
      <c r="CM44" s="8"/>
      <c r="CN44" s="8"/>
      <c r="CQ44" s="8"/>
      <c r="CS44" s="8"/>
      <c r="CU44" s="209"/>
      <c r="CV44" s="268"/>
    </row>
    <row r="45" spans="1:100" x14ac:dyDescent="0.3">
      <c r="A45" s="4" t="s">
        <v>71</v>
      </c>
      <c r="B45" s="4" t="s">
        <v>88</v>
      </c>
      <c r="C45" s="7">
        <v>6145.96</v>
      </c>
      <c r="D45" s="7">
        <v>1430.4799999999998</v>
      </c>
      <c r="E45" s="7"/>
      <c r="F45" s="7">
        <f t="shared" si="0"/>
        <v>1430.4799999999998</v>
      </c>
      <c r="G45" s="7">
        <f t="shared" si="1"/>
        <v>5317.08</v>
      </c>
      <c r="H45" s="7">
        <v>601.59999999999991</v>
      </c>
      <c r="I45" s="7">
        <v>6645.3499999999995</v>
      </c>
      <c r="J45" s="7">
        <v>3011.91</v>
      </c>
      <c r="K45" s="7">
        <f t="shared" si="2"/>
        <v>4285.4799999999996</v>
      </c>
      <c r="L45" s="7">
        <v>652.04</v>
      </c>
      <c r="M45" s="8">
        <f t="shared" si="5"/>
        <v>6395.6549999999997</v>
      </c>
      <c r="N45" s="8">
        <f t="shared" si="34"/>
        <v>1594.3749999999998</v>
      </c>
      <c r="O45" s="7">
        <f t="shared" si="35"/>
        <v>4801.28</v>
      </c>
      <c r="P45" s="8">
        <f t="shared" si="36"/>
        <v>626.81999999999994</v>
      </c>
      <c r="Q45" s="44">
        <v>4500</v>
      </c>
      <c r="R45" s="47">
        <f>3055-T45</f>
        <v>2605</v>
      </c>
      <c r="S45" s="44">
        <f>1445+T45</f>
        <v>1895</v>
      </c>
      <c r="T45" s="49">
        <v>450</v>
      </c>
      <c r="U45" s="149">
        <f t="shared" si="37"/>
        <v>1445</v>
      </c>
      <c r="V45" s="51">
        <f t="shared" si="38"/>
        <v>874.26944019220559</v>
      </c>
      <c r="W45" s="42">
        <f t="shared" si="9"/>
        <v>424.26944019220559</v>
      </c>
      <c r="X45" s="133">
        <f t="shared" si="39"/>
        <v>1020.7305598077944</v>
      </c>
      <c r="Y45" s="51">
        <f t="shared" si="40"/>
        <v>635.60169442250708</v>
      </c>
      <c r="Z45" s="42">
        <f t="shared" si="41"/>
        <v>185.60169442250708</v>
      </c>
      <c r="AA45" s="133">
        <f t="shared" si="42"/>
        <v>1259.3983055774929</v>
      </c>
      <c r="AB45" s="51">
        <f t="shared" si="45"/>
        <v>1807.0405943835642</v>
      </c>
      <c r="AC45" s="46">
        <f t="shared" si="46"/>
        <v>1357.0405943835642</v>
      </c>
      <c r="AD45" s="133">
        <f t="shared" si="44"/>
        <v>87.959405616435788</v>
      </c>
      <c r="AE45" s="273"/>
      <c r="AF45" s="8"/>
      <c r="AG45" s="8"/>
      <c r="AH45" s="274"/>
      <c r="AK45" s="216"/>
      <c r="AQ45" s="8"/>
      <c r="BA45" s="187" t="s">
        <v>80</v>
      </c>
      <c r="BB45" s="206">
        <f t="shared" si="49"/>
        <v>28109.999999999953</v>
      </c>
      <c r="BC45" s="206">
        <f t="shared" si="50"/>
        <v>1299.9999999999961</v>
      </c>
      <c r="BD45" s="203"/>
      <c r="BE45" s="204"/>
      <c r="BF45" s="206">
        <f t="shared" si="51"/>
        <v>5461.2697697339681</v>
      </c>
      <c r="BG45" s="203"/>
      <c r="BH45" s="206">
        <f t="shared" si="52"/>
        <v>4161.2697697339718</v>
      </c>
      <c r="BI45" s="203"/>
      <c r="BJ45" s="252">
        <f t="shared" si="53"/>
        <v>17484.021706739655</v>
      </c>
      <c r="BK45" s="176" t="s">
        <v>192</v>
      </c>
      <c r="BM45" s="57">
        <f t="shared" si="47"/>
        <v>9</v>
      </c>
      <c r="BN45" s="58">
        <f t="shared" si="48"/>
        <v>11.577892535548832</v>
      </c>
      <c r="BP45" s="187" t="s">
        <v>80</v>
      </c>
      <c r="BQ45" s="185">
        <f t="shared" si="54"/>
        <v>12400.000000000004</v>
      </c>
      <c r="BR45" s="185">
        <f t="shared" si="55"/>
        <v>1299.9999999999961</v>
      </c>
      <c r="BS45" s="166"/>
      <c r="BT45" s="184"/>
      <c r="BU45" s="185">
        <f t="shared" si="56"/>
        <v>3025.512864045716</v>
      </c>
      <c r="BV45" s="166"/>
      <c r="BW45" s="185">
        <f t="shared" si="57"/>
        <v>1725.5128640457199</v>
      </c>
      <c r="BX45" s="166"/>
      <c r="BY45" s="252">
        <f t="shared" si="58"/>
        <v>17484.021706739655</v>
      </c>
      <c r="BZ45" s="176" t="s">
        <v>192</v>
      </c>
      <c r="CA45" s="253" t="s">
        <v>80</v>
      </c>
      <c r="CB45" s="185">
        <f t="shared" si="59"/>
        <v>15709.999999999996</v>
      </c>
      <c r="CC45" s="185">
        <f t="shared" si="60"/>
        <v>1299.9999999999961</v>
      </c>
      <c r="CD45" s="166"/>
      <c r="CE45" s="184"/>
      <c r="CF45" s="185">
        <f t="shared" si="61"/>
        <v>14980.795639981945</v>
      </c>
      <c r="CG45" s="166"/>
      <c r="CH45" s="185">
        <f t="shared" si="62"/>
        <v>13680.795639981949</v>
      </c>
      <c r="CI45" s="166"/>
      <c r="CJ45" s="252">
        <f t="shared" si="63"/>
        <v>17484.021706739655</v>
      </c>
      <c r="CK45" s="284" t="s">
        <v>192</v>
      </c>
      <c r="CL45" s="286"/>
      <c r="CM45" s="8"/>
      <c r="CN45" s="8"/>
      <c r="CQ45" s="8"/>
      <c r="CS45" s="8"/>
      <c r="CU45" s="209"/>
      <c r="CV45" s="268"/>
    </row>
    <row r="46" spans="1:100" ht="15" thickBot="1" x14ac:dyDescent="0.35">
      <c r="A46" s="4" t="s">
        <v>71</v>
      </c>
      <c r="B46" s="4" t="s">
        <v>89</v>
      </c>
      <c r="C46" s="7">
        <v>16102.08</v>
      </c>
      <c r="D46" s="7">
        <v>6311.26</v>
      </c>
      <c r="E46" s="7"/>
      <c r="F46" s="7">
        <f t="shared" ref="F46:F48" si="64">D46-E46</f>
        <v>6311.26</v>
      </c>
      <c r="G46" s="7">
        <f t="shared" si="1"/>
        <v>10979.13</v>
      </c>
      <c r="H46" s="7">
        <v>1188.31</v>
      </c>
      <c r="I46" s="7">
        <v>22429.14</v>
      </c>
      <c r="J46" s="7">
        <v>14623.430000000002</v>
      </c>
      <c r="K46" s="7">
        <f t="shared" si="2"/>
        <v>9075.0099999999966</v>
      </c>
      <c r="L46" s="7">
        <v>1269.3</v>
      </c>
      <c r="M46" s="8">
        <f t="shared" si="5"/>
        <v>19265.61</v>
      </c>
      <c r="N46" s="8">
        <f t="shared" si="34"/>
        <v>9238.5400000000009</v>
      </c>
      <c r="O46" s="7">
        <f t="shared" si="35"/>
        <v>10027.069999999998</v>
      </c>
      <c r="P46" s="8">
        <f t="shared" si="36"/>
        <v>1228.8049999999998</v>
      </c>
      <c r="Q46" s="44">
        <v>15500.000000000005</v>
      </c>
      <c r="R46" s="47">
        <f>14058.3333333333-T45</f>
        <v>13608.333333333299</v>
      </c>
      <c r="S46" s="44">
        <f>1441.66666666667+T46</f>
        <v>2241.6666666666706</v>
      </c>
      <c r="T46" s="49">
        <v>800.00000000000057</v>
      </c>
      <c r="U46" s="149">
        <f t="shared" si="37"/>
        <v>1441.6666666666702</v>
      </c>
      <c r="V46" s="51">
        <f t="shared" si="38"/>
        <v>3011.3725162175983</v>
      </c>
      <c r="W46" s="42">
        <f t="shared" si="9"/>
        <v>2211.3725162175979</v>
      </c>
      <c r="X46" s="133">
        <f t="shared" si="39"/>
        <v>-769.70584955092772</v>
      </c>
      <c r="Y46" s="51">
        <f t="shared" si="40"/>
        <v>3320.3377063082262</v>
      </c>
      <c r="Z46" s="42">
        <f t="shared" si="41"/>
        <v>2520.3377063082257</v>
      </c>
      <c r="AA46" s="133">
        <f t="shared" si="42"/>
        <v>-1078.6710396415556</v>
      </c>
      <c r="AB46" s="51">
        <f t="shared" si="45"/>
        <v>2137.6161824502183</v>
      </c>
      <c r="AC46" s="46">
        <f t="shared" si="46"/>
        <v>1337.6161824502178</v>
      </c>
      <c r="AD46" s="133">
        <f t="shared" si="44"/>
        <v>104.05048421645233</v>
      </c>
      <c r="AE46" s="273"/>
      <c r="AF46" s="8"/>
      <c r="AG46" s="8"/>
      <c r="AH46" s="274"/>
      <c r="AK46" s="216"/>
      <c r="AQ46" s="8"/>
      <c r="BA46" s="187" t="s">
        <v>81</v>
      </c>
      <c r="BB46" s="206">
        <f t="shared" si="49"/>
        <v>24999.999999999953</v>
      </c>
      <c r="BC46" s="206">
        <f t="shared" si="50"/>
        <v>2499.9999999999959</v>
      </c>
      <c r="BD46" s="203"/>
      <c r="BE46" s="204"/>
      <c r="BF46" s="206">
        <f t="shared" si="51"/>
        <v>4857.052445512244</v>
      </c>
      <c r="BG46" s="203"/>
      <c r="BH46" s="206">
        <f t="shared" si="52"/>
        <v>2357.0524455122481</v>
      </c>
      <c r="BI46" s="203"/>
      <c r="BJ46" s="252">
        <f t="shared" si="53"/>
        <v>57042.84113658376</v>
      </c>
      <c r="BK46" s="180" t="s">
        <v>187</v>
      </c>
      <c r="BM46" s="57">
        <f t="shared" si="47"/>
        <v>10</v>
      </c>
      <c r="BN46" s="58">
        <f t="shared" si="48"/>
        <v>13.206787162326274</v>
      </c>
      <c r="BP46" s="187" t="s">
        <v>81</v>
      </c>
      <c r="BQ46" s="185">
        <f t="shared" si="54"/>
        <v>19610.000000000004</v>
      </c>
      <c r="BR46" s="185">
        <f t="shared" si="55"/>
        <v>2499.9999999999959</v>
      </c>
      <c r="BS46" s="166"/>
      <c r="BT46" s="184"/>
      <c r="BU46" s="185">
        <f t="shared" si="56"/>
        <v>4784.7021987045555</v>
      </c>
      <c r="BV46" s="166"/>
      <c r="BW46" s="185">
        <f t="shared" si="57"/>
        <v>2284.7021987045596</v>
      </c>
      <c r="BX46" s="166"/>
      <c r="BY46" s="252">
        <f t="shared" si="58"/>
        <v>57042.84113658376</v>
      </c>
      <c r="BZ46" s="180" t="s">
        <v>187</v>
      </c>
      <c r="CA46" s="253" t="s">
        <v>81</v>
      </c>
      <c r="CB46" s="185">
        <f t="shared" si="59"/>
        <v>5389.9999999999654</v>
      </c>
      <c r="CC46" s="185">
        <f t="shared" si="60"/>
        <v>2499.9999999999959</v>
      </c>
      <c r="CD46" s="166"/>
      <c r="CE46" s="184"/>
      <c r="CF46" s="185">
        <f t="shared" si="61"/>
        <v>5139.814672151635</v>
      </c>
      <c r="CG46" s="166"/>
      <c r="CH46" s="185">
        <f t="shared" si="62"/>
        <v>2639.8146721516391</v>
      </c>
      <c r="CI46" s="166"/>
      <c r="CJ46" s="252">
        <f t="shared" si="63"/>
        <v>57042.84113658376</v>
      </c>
      <c r="CK46" s="249" t="s">
        <v>187</v>
      </c>
      <c r="CL46" s="286"/>
      <c r="CM46" s="8"/>
      <c r="CN46" s="8"/>
      <c r="CQ46" s="8"/>
      <c r="CS46" s="8"/>
      <c r="CU46" s="209"/>
      <c r="CV46" s="268"/>
    </row>
    <row r="47" spans="1:100" x14ac:dyDescent="0.3">
      <c r="A47" s="4" t="s">
        <v>71</v>
      </c>
      <c r="B47" s="4" t="s">
        <v>90</v>
      </c>
      <c r="C47" s="7"/>
      <c r="D47" s="7">
        <v>699.86</v>
      </c>
      <c r="E47" s="7"/>
      <c r="F47" s="7">
        <f t="shared" si="64"/>
        <v>699.86</v>
      </c>
      <c r="G47" s="7">
        <f t="shared" ref="G47:G48" si="65">C47-F47+H47</f>
        <v>-699.86</v>
      </c>
      <c r="H47" s="7"/>
      <c r="I47" s="7">
        <v>217821.95999999996</v>
      </c>
      <c r="J47" s="7">
        <v>116983.99</v>
      </c>
      <c r="K47" s="7">
        <f t="shared" ref="K47:K48" si="66">I47-J47+L47</f>
        <v>101087.44999999995</v>
      </c>
      <c r="L47" s="7">
        <v>249.48000000000002</v>
      </c>
      <c r="M47" s="8">
        <f t="shared" si="5"/>
        <v>108910.97999999998</v>
      </c>
      <c r="N47" s="8">
        <f t="shared" si="34"/>
        <v>58717.185000000005</v>
      </c>
      <c r="O47" s="7">
        <f t="shared" si="35"/>
        <v>50193.794999999976</v>
      </c>
      <c r="P47" s="8">
        <f t="shared" si="36"/>
        <v>124.74000000000001</v>
      </c>
      <c r="Q47" s="44">
        <v>295830.00000000041</v>
      </c>
      <c r="R47" s="47">
        <f>268509.796297472-T47</f>
        <v>268009.79629747203</v>
      </c>
      <c r="S47" s="44">
        <f>27320.2037025287+T47</f>
        <v>27820.203702528699</v>
      </c>
      <c r="T47" s="49">
        <v>500.00000000000028</v>
      </c>
      <c r="U47" s="149">
        <f t="shared" si="37"/>
        <v>27320.203702528699</v>
      </c>
      <c r="V47" s="51">
        <f t="shared" si="38"/>
        <v>57474.472998235673</v>
      </c>
      <c r="W47" s="42">
        <f t="shared" si="9"/>
        <v>56974.472998235673</v>
      </c>
      <c r="X47" s="133">
        <f t="shared" si="39"/>
        <v>-29654.269295706974</v>
      </c>
      <c r="Y47" s="51">
        <f t="shared" si="40"/>
        <v>65392.506966796238</v>
      </c>
      <c r="Z47" s="42">
        <f t="shared" si="41"/>
        <v>64892.506966796238</v>
      </c>
      <c r="AA47" s="133">
        <f t="shared" si="42"/>
        <v>-37572.303264267539</v>
      </c>
      <c r="AB47" s="51">
        <f t="shared" si="45"/>
        <v>26528.885189704113</v>
      </c>
      <c r="AC47" s="46">
        <f t="shared" si="46"/>
        <v>26028.885189704113</v>
      </c>
      <c r="AD47" s="133">
        <f t="shared" si="44"/>
        <v>1291.3185128245859</v>
      </c>
      <c r="AE47" s="273"/>
      <c r="AF47" s="8"/>
      <c r="AG47" s="8"/>
      <c r="AH47" s="274"/>
      <c r="AK47" s="216"/>
      <c r="AQ47" s="8"/>
      <c r="BA47" s="187" t="s">
        <v>82</v>
      </c>
      <c r="BB47" s="206">
        <f t="shared" si="49"/>
        <v>13800</v>
      </c>
      <c r="BC47" s="206">
        <f t="shared" si="50"/>
        <v>1149.9999999999995</v>
      </c>
      <c r="BD47" s="203"/>
      <c r="BE47" s="204"/>
      <c r="BF47" s="206">
        <f t="shared" si="51"/>
        <v>2681.0929499227636</v>
      </c>
      <c r="BG47" s="203"/>
      <c r="BH47" s="206">
        <f t="shared" si="52"/>
        <v>1531.0929499227641</v>
      </c>
      <c r="BI47" s="203"/>
      <c r="BJ47" s="206">
        <f t="shared" si="53"/>
        <v>647819.37942164356</v>
      </c>
      <c r="BK47" s="197"/>
      <c r="BM47" s="57">
        <f t="shared" si="47"/>
        <v>11</v>
      </c>
      <c r="BN47" s="58">
        <f t="shared" si="48"/>
        <v>14.917126520442588</v>
      </c>
      <c r="BP47" s="187" t="s">
        <v>82</v>
      </c>
      <c r="BQ47" s="185">
        <f t="shared" si="54"/>
        <v>10450</v>
      </c>
      <c r="BR47" s="185">
        <f t="shared" si="55"/>
        <v>1149.9999999999995</v>
      </c>
      <c r="BS47" s="166"/>
      <c r="BT47" s="184"/>
      <c r="BU47" s="185">
        <f t="shared" si="56"/>
        <v>2549.7265668772357</v>
      </c>
      <c r="BV47" s="166"/>
      <c r="BW47" s="185">
        <f t="shared" si="57"/>
        <v>1399.7265668772361</v>
      </c>
      <c r="BX47" s="166"/>
      <c r="BY47" s="206">
        <f t="shared" si="58"/>
        <v>647819.37942164356</v>
      </c>
      <c r="BZ47" s="197"/>
      <c r="CA47" s="253" t="s">
        <v>82</v>
      </c>
      <c r="CB47" s="185">
        <f t="shared" si="59"/>
        <v>3349.9999999999895</v>
      </c>
      <c r="CC47" s="185">
        <f t="shared" si="60"/>
        <v>1149.9999999999995</v>
      </c>
      <c r="CD47" s="166"/>
      <c r="CE47" s="184"/>
      <c r="CF47" s="185">
        <f t="shared" si="61"/>
        <v>3194.50448083637</v>
      </c>
      <c r="CG47" s="166"/>
      <c r="CH47" s="185">
        <f t="shared" si="62"/>
        <v>2044.5044808363705</v>
      </c>
      <c r="CI47" s="166"/>
      <c r="CJ47" s="206">
        <f t="shared" si="63"/>
        <v>647819.37942164356</v>
      </c>
      <c r="CK47" s="197"/>
      <c r="CL47" s="286"/>
      <c r="CM47" s="8"/>
      <c r="CN47" s="8"/>
      <c r="CQ47" s="8"/>
      <c r="CS47" s="8"/>
      <c r="CU47" s="209"/>
      <c r="CV47" s="268"/>
    </row>
    <row r="48" spans="1:100" ht="15" thickBot="1" x14ac:dyDescent="0.35">
      <c r="A48" s="4" t="s">
        <v>71</v>
      </c>
      <c r="B48" s="4" t="s">
        <v>91</v>
      </c>
      <c r="C48" s="7">
        <v>4617.78</v>
      </c>
      <c r="D48" s="7">
        <v>584.74</v>
      </c>
      <c r="E48" s="7"/>
      <c r="F48" s="7">
        <f t="shared" si="64"/>
        <v>584.74</v>
      </c>
      <c r="G48" s="36">
        <f t="shared" si="65"/>
        <v>4489.32</v>
      </c>
      <c r="H48" s="36">
        <v>456.28</v>
      </c>
      <c r="I48" s="7">
        <v>4734.49</v>
      </c>
      <c r="J48" s="7">
        <v>1589.0000000000005</v>
      </c>
      <c r="K48" s="36">
        <f t="shared" si="66"/>
        <v>3603.4399999999991</v>
      </c>
      <c r="L48" s="36">
        <v>457.95</v>
      </c>
      <c r="M48" s="8">
        <f t="shared" si="5"/>
        <v>4676.1350000000002</v>
      </c>
      <c r="N48" s="8">
        <f t="shared" si="34"/>
        <v>629.75500000000034</v>
      </c>
      <c r="O48" s="36">
        <f t="shared" si="35"/>
        <v>4046.3799999999992</v>
      </c>
      <c r="P48" s="8">
        <f t="shared" si="36"/>
        <v>457.11500000000001</v>
      </c>
      <c r="Q48" s="44">
        <v>4700.0000000000045</v>
      </c>
      <c r="R48" s="47">
        <f>4336-T48</f>
        <v>3865.9999999999995</v>
      </c>
      <c r="S48" s="109">
        <f>364.000000000005+T48</f>
        <v>834.00000000000534</v>
      </c>
      <c r="T48" s="78">
        <v>470.00000000000034</v>
      </c>
      <c r="U48" s="149">
        <f t="shared" si="37"/>
        <v>364.000000000005</v>
      </c>
      <c r="V48" s="51">
        <f t="shared" si="38"/>
        <v>913.12585975630452</v>
      </c>
      <c r="W48" s="151">
        <f t="shared" si="9"/>
        <v>443.12585975630418</v>
      </c>
      <c r="X48" s="135">
        <f t="shared" si="39"/>
        <v>-79.125859756299178</v>
      </c>
      <c r="Y48" s="51">
        <f t="shared" si="40"/>
        <v>943.2768332581237</v>
      </c>
      <c r="Z48" s="151">
        <f t="shared" si="41"/>
        <v>473.27683325812336</v>
      </c>
      <c r="AA48" s="135">
        <f t="shared" si="42"/>
        <v>-109.27683325811836</v>
      </c>
      <c r="AB48" s="51">
        <f t="shared" si="45"/>
        <v>795.28857821419638</v>
      </c>
      <c r="AC48" s="151">
        <f t="shared" si="46"/>
        <v>325.28857821419604</v>
      </c>
      <c r="AD48" s="135">
        <f t="shared" si="44"/>
        <v>38.711421785808966</v>
      </c>
      <c r="AE48" s="273"/>
      <c r="AF48" s="8"/>
      <c r="AG48" s="8"/>
      <c r="AH48" s="274"/>
      <c r="AK48" s="216"/>
      <c r="AQ48" s="8"/>
      <c r="BA48" s="187" t="s">
        <v>83</v>
      </c>
      <c r="BB48" s="206">
        <f t="shared" si="49"/>
        <v>7500</v>
      </c>
      <c r="BC48" s="206">
        <f t="shared" si="50"/>
        <v>750</v>
      </c>
      <c r="BD48" s="203"/>
      <c r="BE48" s="204"/>
      <c r="BF48" s="206">
        <f t="shared" si="51"/>
        <v>1457.115733653676</v>
      </c>
      <c r="BG48" s="203"/>
      <c r="BH48" s="206">
        <f t="shared" si="52"/>
        <v>707.11573365367599</v>
      </c>
      <c r="BI48" s="203"/>
      <c r="BJ48" s="206">
        <f t="shared" si="53"/>
        <v>37715.151002846651</v>
      </c>
      <c r="BK48" s="197"/>
      <c r="BM48" s="57">
        <f t="shared" si="47"/>
        <v>12</v>
      </c>
      <c r="BN48" s="58">
        <f t="shared" si="48"/>
        <v>16.712982846464719</v>
      </c>
      <c r="BP48" s="187" t="s">
        <v>83</v>
      </c>
      <c r="BQ48" s="185">
        <f t="shared" si="54"/>
        <v>5328</v>
      </c>
      <c r="BR48" s="185">
        <f t="shared" si="55"/>
        <v>750</v>
      </c>
      <c r="BS48" s="166"/>
      <c r="BT48" s="184"/>
      <c r="BU48" s="185">
        <f t="shared" si="56"/>
        <v>1299.99455964803</v>
      </c>
      <c r="BV48" s="166"/>
      <c r="BW48" s="185">
        <f t="shared" si="57"/>
        <v>549.99455964802996</v>
      </c>
      <c r="BX48" s="166"/>
      <c r="BY48" s="206">
        <f t="shared" si="58"/>
        <v>37715.151002846651</v>
      </c>
      <c r="BZ48" s="197"/>
      <c r="CA48" s="253" t="s">
        <v>83</v>
      </c>
      <c r="CB48" s="185">
        <f t="shared" si="59"/>
        <v>2922</v>
      </c>
      <c r="CC48" s="185">
        <f t="shared" si="60"/>
        <v>750</v>
      </c>
      <c r="CD48" s="166"/>
      <c r="CE48" s="184"/>
      <c r="CF48" s="185">
        <f t="shared" si="61"/>
        <v>2786.3707740310156</v>
      </c>
      <c r="CG48" s="166"/>
      <c r="CH48" s="185">
        <f t="shared" si="62"/>
        <v>2036.3707740310156</v>
      </c>
      <c r="CI48" s="166"/>
      <c r="CJ48" s="206">
        <f t="shared" si="63"/>
        <v>37715.151002846651</v>
      </c>
      <c r="CK48" s="197"/>
      <c r="CL48" s="286"/>
      <c r="CM48" s="8"/>
      <c r="CN48" s="8"/>
      <c r="CQ48" s="8"/>
      <c r="CS48" s="8"/>
      <c r="CU48" s="209"/>
      <c r="CV48" s="268"/>
    </row>
    <row r="49" spans="2:100" ht="15" thickBot="1" x14ac:dyDescent="0.35">
      <c r="B49" s="29" t="s">
        <v>110</v>
      </c>
      <c r="C49" s="8"/>
      <c r="D49" s="8"/>
      <c r="E49" s="8"/>
      <c r="F49" s="8"/>
      <c r="G49" s="31">
        <f>SUM(G12:G48)</f>
        <v>7311973.040000001</v>
      </c>
      <c r="H49" s="30">
        <f>SUM(H12:H48)</f>
        <v>5871546.7899999972</v>
      </c>
      <c r="I49" s="8"/>
      <c r="J49" s="8"/>
      <c r="K49" s="31">
        <f t="shared" ref="K49:T49" si="67">SUM(K12:K48)</f>
        <v>4404320.6499999957</v>
      </c>
      <c r="L49" s="31">
        <f t="shared" si="67"/>
        <v>5300916.7</v>
      </c>
      <c r="M49" s="64">
        <f t="shared" si="67"/>
        <v>28753198.610000003</v>
      </c>
      <c r="N49" s="64">
        <f t="shared" si="67"/>
        <v>22895051.764999989</v>
      </c>
      <c r="O49" s="73">
        <f t="shared" si="67"/>
        <v>5858146.8450000016</v>
      </c>
      <c r="P49" s="73">
        <f t="shared" si="67"/>
        <v>5586231.745000002</v>
      </c>
      <c r="Q49" s="32">
        <f t="shared" si="67"/>
        <v>30777196.406666677</v>
      </c>
      <c r="R49" s="32">
        <f t="shared" si="67"/>
        <v>24155399.876468539</v>
      </c>
      <c r="S49" s="31">
        <f t="shared" si="67"/>
        <v>6623346.5301981401</v>
      </c>
      <c r="T49" s="30">
        <f t="shared" si="67"/>
        <v>6290443.5</v>
      </c>
      <c r="U49" s="191"/>
      <c r="V49" s="31">
        <f>SUM(V12:V48)</f>
        <v>5979458.2829204528</v>
      </c>
      <c r="W49" s="31">
        <f>SUM(W12:W48)</f>
        <v>-310985.21707954793</v>
      </c>
      <c r="X49" s="191"/>
      <c r="Y49" s="31">
        <f>SUM(Y12:Y48)</f>
        <v>5893747.8276148289</v>
      </c>
      <c r="Z49" s="31">
        <f>SUM(Z12:Z48)</f>
        <v>-396695.67238517286</v>
      </c>
      <c r="AA49" s="191"/>
      <c r="AB49" s="31">
        <f>SUM(AB12:AB48)</f>
        <v>6771062.0384912211</v>
      </c>
      <c r="AC49" s="31">
        <f>SUM(AC12:AC48)</f>
        <v>480618.53849122225</v>
      </c>
      <c r="AD49" s="192"/>
      <c r="AF49" s="136"/>
      <c r="AG49" s="136"/>
      <c r="AH49" s="136"/>
      <c r="AK49" s="216"/>
      <c r="AQ49" s="8"/>
      <c r="BA49" s="187" t="s">
        <v>84</v>
      </c>
      <c r="BB49" s="206">
        <f t="shared" si="49"/>
        <v>5499.9999999999955</v>
      </c>
      <c r="BC49" s="206">
        <f t="shared" si="50"/>
        <v>549.99999999999966</v>
      </c>
      <c r="BD49" s="203"/>
      <c r="BE49" s="204"/>
      <c r="BF49" s="206">
        <f t="shared" si="51"/>
        <v>1068.5515380126949</v>
      </c>
      <c r="BG49" s="203"/>
      <c r="BH49" s="206">
        <f t="shared" si="52"/>
        <v>518.55153801269523</v>
      </c>
      <c r="BI49" s="203"/>
      <c r="BJ49" s="206">
        <f t="shared" si="53"/>
        <v>25643.097779725198</v>
      </c>
      <c r="BK49" s="197"/>
      <c r="BM49" s="57">
        <f t="shared" si="47"/>
        <v>13</v>
      </c>
      <c r="BN49" s="58">
        <f t="shared" si="48"/>
        <v>18.598631988787957</v>
      </c>
      <c r="BP49" s="187" t="s">
        <v>84</v>
      </c>
      <c r="BQ49" s="185">
        <f t="shared" si="54"/>
        <v>4715</v>
      </c>
      <c r="BR49" s="185">
        <f t="shared" si="55"/>
        <v>549.99999999999966</v>
      </c>
      <c r="BS49" s="166"/>
      <c r="BT49" s="184"/>
      <c r="BU49" s="185">
        <f t="shared" si="56"/>
        <v>1150.4268672560925</v>
      </c>
      <c r="BV49" s="166"/>
      <c r="BW49" s="185">
        <f t="shared" si="57"/>
        <v>600.42686725609281</v>
      </c>
      <c r="BX49" s="166"/>
      <c r="BY49" s="206">
        <f t="shared" si="58"/>
        <v>25643.097779725198</v>
      </c>
      <c r="BZ49" s="197"/>
      <c r="CA49" s="253" t="s">
        <v>84</v>
      </c>
      <c r="CB49" s="185">
        <f t="shared" si="59"/>
        <v>784.99999999999568</v>
      </c>
      <c r="CC49" s="185">
        <f t="shared" si="60"/>
        <v>549.99999999999966</v>
      </c>
      <c r="CD49" s="166"/>
      <c r="CE49" s="184"/>
      <c r="CF49" s="185">
        <f t="shared" si="61"/>
        <v>748.56299028553565</v>
      </c>
      <c r="CG49" s="166"/>
      <c r="CH49" s="185">
        <f t="shared" si="62"/>
        <v>198.56299028553599</v>
      </c>
      <c r="CI49" s="166"/>
      <c r="CJ49" s="206">
        <f t="shared" si="63"/>
        <v>25643.097779725198</v>
      </c>
      <c r="CK49" s="197"/>
      <c r="CL49" s="286"/>
      <c r="CM49" s="8"/>
      <c r="CN49" s="8"/>
      <c r="CQ49" s="8"/>
      <c r="CS49" s="8"/>
      <c r="CU49" s="209"/>
      <c r="CV49" s="268"/>
    </row>
    <row r="50" spans="2:100" ht="49.5" customHeight="1" thickBot="1" x14ac:dyDescent="0.35">
      <c r="C50" s="8"/>
      <c r="D50" s="8"/>
      <c r="E50" s="8"/>
      <c r="F50" s="8"/>
      <c r="G50" s="22" t="s">
        <v>99</v>
      </c>
      <c r="H50" s="23" t="s">
        <v>100</v>
      </c>
      <c r="I50" s="8"/>
      <c r="J50" s="8"/>
      <c r="K50" s="22" t="s">
        <v>102</v>
      </c>
      <c r="L50" s="23" t="s">
        <v>103</v>
      </c>
      <c r="M50" s="65" t="s">
        <v>133</v>
      </c>
      <c r="N50" s="70" t="s">
        <v>134</v>
      </c>
      <c r="O50" s="65" t="s">
        <v>151</v>
      </c>
      <c r="P50" s="193" t="s">
        <v>105</v>
      </c>
      <c r="Q50" s="194" t="s">
        <v>127</v>
      </c>
      <c r="R50" s="195" t="s">
        <v>174</v>
      </c>
      <c r="S50" s="195" t="s">
        <v>111</v>
      </c>
      <c r="T50" s="195" t="s">
        <v>112</v>
      </c>
      <c r="U50" s="189"/>
      <c r="W50" s="126"/>
      <c r="X50" s="189"/>
      <c r="Z50" s="126"/>
      <c r="AA50" s="189"/>
      <c r="AC50" s="126"/>
      <c r="AD50" s="190"/>
      <c r="AG50" s="126"/>
      <c r="AH50" s="190"/>
      <c r="AK50" s="216"/>
      <c r="AQ50" s="8"/>
      <c r="AR50" s="8"/>
      <c r="BA50" s="187" t="s">
        <v>85</v>
      </c>
      <c r="BB50" s="206">
        <f t="shared" si="49"/>
        <v>7699.9999999999964</v>
      </c>
      <c r="BC50" s="206">
        <f t="shared" si="50"/>
        <v>699.99999999999955</v>
      </c>
      <c r="BD50" s="203"/>
      <c r="BE50" s="204"/>
      <c r="BF50" s="206">
        <f t="shared" si="51"/>
        <v>1495.9721532177734</v>
      </c>
      <c r="BG50" s="203"/>
      <c r="BH50" s="206">
        <f t="shared" si="52"/>
        <v>795.97215321777389</v>
      </c>
      <c r="BI50" s="203"/>
      <c r="BJ50" s="206">
        <f t="shared" si="53"/>
        <v>12001.276883212298</v>
      </c>
      <c r="BK50" s="197"/>
      <c r="BM50" s="57">
        <f t="shared" si="47"/>
        <v>14</v>
      </c>
      <c r="BN50" s="58">
        <f t="shared" si="48"/>
        <v>20.578563588227357</v>
      </c>
      <c r="BP50" s="187" t="s">
        <v>85</v>
      </c>
      <c r="BQ50" s="185">
        <f t="shared" si="54"/>
        <v>4285</v>
      </c>
      <c r="BR50" s="185">
        <f t="shared" si="55"/>
        <v>699.99999999999955</v>
      </c>
      <c r="BS50" s="166"/>
      <c r="BT50" s="184"/>
      <c r="BU50" s="185">
        <f t="shared" si="56"/>
        <v>1045.5098889061201</v>
      </c>
      <c r="BV50" s="166"/>
      <c r="BW50" s="185">
        <f t="shared" si="57"/>
        <v>345.50988890612052</v>
      </c>
      <c r="BX50" s="166"/>
      <c r="BY50" s="206">
        <f t="shared" si="58"/>
        <v>12001.276883212298</v>
      </c>
      <c r="BZ50" s="197"/>
      <c r="CA50" s="253" t="s">
        <v>85</v>
      </c>
      <c r="CB50" s="185">
        <f t="shared" si="59"/>
        <v>3414.9999999999995</v>
      </c>
      <c r="CC50" s="185">
        <f t="shared" si="60"/>
        <v>699.99999999999955</v>
      </c>
      <c r="CD50" s="166"/>
      <c r="CE50" s="184"/>
      <c r="CF50" s="185">
        <f t="shared" si="61"/>
        <v>3256.4874035988764</v>
      </c>
      <c r="CG50" s="166"/>
      <c r="CH50" s="185">
        <f t="shared" si="62"/>
        <v>2556.4874035988769</v>
      </c>
      <c r="CI50" s="166"/>
      <c r="CJ50" s="206">
        <f t="shared" si="63"/>
        <v>12001.276883212298</v>
      </c>
      <c r="CK50" s="197"/>
      <c r="CL50" s="286"/>
      <c r="CM50" s="8"/>
      <c r="CN50" s="8"/>
      <c r="CQ50" s="8"/>
      <c r="CS50" s="8"/>
      <c r="CU50" s="209"/>
      <c r="CV50" s="268"/>
    </row>
    <row r="51" spans="2:100" ht="15" thickBot="1" x14ac:dyDescent="0.35">
      <c r="C51" s="8"/>
      <c r="D51" s="8"/>
      <c r="E51" s="8"/>
      <c r="F51" s="8"/>
      <c r="G51" s="24"/>
      <c r="H51" s="25"/>
      <c r="I51" s="8"/>
      <c r="J51" s="8"/>
      <c r="K51" s="24"/>
      <c r="L51" s="25"/>
      <c r="M51" s="66"/>
      <c r="N51" s="21"/>
      <c r="O51" s="67"/>
      <c r="P51" s="67"/>
      <c r="Q51" s="61"/>
      <c r="R51" s="63"/>
      <c r="S51" s="115"/>
      <c r="T51" s="63"/>
      <c r="W51" s="8"/>
      <c r="AF51" s="126"/>
      <c r="AK51" s="216"/>
      <c r="AQ51" s="8"/>
      <c r="AR51" s="8"/>
      <c r="BA51" s="187" t="s">
        <v>86</v>
      </c>
      <c r="BB51" s="206">
        <f t="shared" si="49"/>
        <v>5499.9999999999991</v>
      </c>
      <c r="BC51" s="206">
        <f t="shared" si="50"/>
        <v>450</v>
      </c>
      <c r="BD51" s="203"/>
      <c r="BE51" s="204"/>
      <c r="BF51" s="206">
        <f t="shared" si="51"/>
        <v>1068.5515380126956</v>
      </c>
      <c r="BG51" s="203"/>
      <c r="BH51" s="206">
        <f t="shared" si="52"/>
        <v>618.55153801269557</v>
      </c>
      <c r="BI51" s="203"/>
      <c r="BJ51" s="206">
        <f t="shared" si="53"/>
        <v>14610.683566361829</v>
      </c>
      <c r="BK51" s="197"/>
      <c r="BM51" s="57">
        <f t="shared" si="47"/>
        <v>15</v>
      </c>
      <c r="BN51" s="59">
        <f t="shared" si="48"/>
        <v>22.657491767638728</v>
      </c>
      <c r="BP51" s="187" t="s">
        <v>86</v>
      </c>
      <c r="BQ51" s="185">
        <f t="shared" si="54"/>
        <v>5247</v>
      </c>
      <c r="BR51" s="185">
        <f t="shared" si="55"/>
        <v>450</v>
      </c>
      <c r="BS51" s="166"/>
      <c r="BT51" s="184"/>
      <c r="BU51" s="185">
        <f t="shared" si="56"/>
        <v>1280.2311288425699</v>
      </c>
      <c r="BV51" s="166"/>
      <c r="BW51" s="185">
        <f t="shared" si="57"/>
        <v>830.23112884256989</v>
      </c>
      <c r="BX51" s="166"/>
      <c r="BY51" s="206">
        <f t="shared" si="58"/>
        <v>14610.683566361829</v>
      </c>
      <c r="BZ51" s="197"/>
      <c r="CA51" s="253" t="s">
        <v>86</v>
      </c>
      <c r="CB51" s="185">
        <f t="shared" si="59"/>
        <v>703</v>
      </c>
      <c r="CC51" s="185">
        <f t="shared" si="60"/>
        <v>450</v>
      </c>
      <c r="CD51" s="166"/>
      <c r="CE51" s="184"/>
      <c r="CF51" s="185">
        <f t="shared" si="61"/>
        <v>670.36914926208215</v>
      </c>
      <c r="CG51" s="166"/>
      <c r="CH51" s="185">
        <f t="shared" si="62"/>
        <v>220.36914926208215</v>
      </c>
      <c r="CI51" s="166"/>
      <c r="CJ51" s="206">
        <f t="shared" si="63"/>
        <v>14610.683566361829</v>
      </c>
      <c r="CK51" s="197"/>
      <c r="CL51" s="286"/>
      <c r="CM51" s="8"/>
      <c r="CN51" s="8"/>
      <c r="CQ51" s="8"/>
      <c r="CS51" s="8"/>
      <c r="CU51" s="209"/>
      <c r="CV51" s="268"/>
    </row>
    <row r="52" spans="2:100" x14ac:dyDescent="0.3">
      <c r="B52" s="268"/>
      <c r="C52" s="8"/>
      <c r="D52" s="8"/>
      <c r="E52" s="8"/>
      <c r="F52" s="8"/>
      <c r="G52" s="38" t="s">
        <v>108</v>
      </c>
      <c r="H52" s="39"/>
      <c r="I52" s="8"/>
      <c r="J52" s="8"/>
      <c r="K52" s="38" t="s">
        <v>107</v>
      </c>
      <c r="L52" s="39"/>
      <c r="M52" s="75">
        <f>P49/M49</f>
        <v>0.19428209782049013</v>
      </c>
      <c r="N52" s="76">
        <f>P49/N49</f>
        <v>0.24399297290691252</v>
      </c>
      <c r="O52" s="77">
        <f>P49/O49</f>
        <v>0.95358342711533728</v>
      </c>
      <c r="P52" s="39"/>
      <c r="Q52" s="60">
        <f>T49/Q49</f>
        <v>0.20438650151504448</v>
      </c>
      <c r="R52" s="62">
        <f>T49/R49</f>
        <v>0.26041562268352098</v>
      </c>
      <c r="S52" s="26" t="s">
        <v>113</v>
      </c>
      <c r="T52" s="27"/>
      <c r="V52" s="235" t="s">
        <v>197</v>
      </c>
      <c r="W52" s="236"/>
      <c r="X52" s="236"/>
      <c r="Y52" s="236"/>
      <c r="Z52" s="236"/>
      <c r="AA52" s="236"/>
      <c r="AB52" s="236"/>
      <c r="AC52" s="236"/>
      <c r="AD52" s="237"/>
      <c r="AK52" s="216"/>
      <c r="AQ52" s="8"/>
      <c r="AR52" s="8"/>
      <c r="BA52" s="187" t="s">
        <v>87</v>
      </c>
      <c r="BB52" s="206">
        <f t="shared" si="49"/>
        <v>78000</v>
      </c>
      <c r="BC52" s="206">
        <f t="shared" si="50"/>
        <v>1599.9999999999959</v>
      </c>
      <c r="BD52" s="203"/>
      <c r="BE52" s="204"/>
      <c r="BF52" s="206">
        <f t="shared" si="51"/>
        <v>15154.003629998231</v>
      </c>
      <c r="BG52" s="203"/>
      <c r="BH52" s="206">
        <f t="shared" si="52"/>
        <v>13554.003629998235</v>
      </c>
      <c r="BI52" s="203"/>
      <c r="BJ52" s="206">
        <f t="shared" si="53"/>
        <v>202757.95708940434</v>
      </c>
      <c r="BK52" s="197"/>
      <c r="BN52" s="124" t="s">
        <v>125</v>
      </c>
      <c r="BP52" s="187" t="s">
        <v>87</v>
      </c>
      <c r="BQ52" s="185">
        <f t="shared" si="54"/>
        <v>35550.000000000007</v>
      </c>
      <c r="BR52" s="185">
        <f t="shared" si="55"/>
        <v>1599.9999999999959</v>
      </c>
      <c r="BS52" s="166"/>
      <c r="BT52" s="184"/>
      <c r="BU52" s="185">
        <f t="shared" si="56"/>
        <v>8673.9501868407424</v>
      </c>
      <c r="BV52" s="166"/>
      <c r="BW52" s="185">
        <f t="shared" si="57"/>
        <v>7073.950186840746</v>
      </c>
      <c r="BX52" s="166"/>
      <c r="BY52" s="206">
        <f t="shared" si="58"/>
        <v>202757.95708940434</v>
      </c>
      <c r="BZ52" s="197"/>
      <c r="CA52" s="253" t="s">
        <v>87</v>
      </c>
      <c r="CB52" s="185">
        <f t="shared" si="59"/>
        <v>42449.999999999993</v>
      </c>
      <c r="CC52" s="185">
        <f t="shared" si="60"/>
        <v>1599.9999999999959</v>
      </c>
      <c r="CD52" s="166"/>
      <c r="CE52" s="184"/>
      <c r="CF52" s="185">
        <f t="shared" si="61"/>
        <v>40479.616481046061</v>
      </c>
      <c r="CG52" s="166"/>
      <c r="CH52" s="185">
        <f t="shared" si="62"/>
        <v>38879.616481046069</v>
      </c>
      <c r="CI52" s="166"/>
      <c r="CJ52" s="206">
        <f t="shared" si="63"/>
        <v>202757.95708940434</v>
      </c>
      <c r="CK52" s="197"/>
      <c r="CL52" s="286"/>
      <c r="CM52" s="8"/>
      <c r="CN52" s="8"/>
      <c r="CQ52" s="8"/>
      <c r="CS52" s="8"/>
      <c r="CU52" s="209"/>
      <c r="CV52" s="268"/>
    </row>
    <row r="53" spans="2:100" ht="15" thickBot="1" x14ac:dyDescent="0.35">
      <c r="B53" s="268"/>
      <c r="C53" s="8"/>
      <c r="D53" s="8"/>
      <c r="E53" s="8"/>
      <c r="F53" s="8"/>
      <c r="G53" s="40" t="s">
        <v>109</v>
      </c>
      <c r="H53" s="41">
        <f>H49/G49</f>
        <v>0.80300443640585362</v>
      </c>
      <c r="I53" s="8"/>
      <c r="J53" s="8"/>
      <c r="K53" s="40" t="s">
        <v>106</v>
      </c>
      <c r="L53" s="41">
        <f>L49/K49</f>
        <v>1.2035719288512758</v>
      </c>
      <c r="M53" s="68" t="s">
        <v>128</v>
      </c>
      <c r="N53" s="71" t="s">
        <v>128</v>
      </c>
      <c r="O53" s="74" t="s">
        <v>135</v>
      </c>
      <c r="Q53" s="87" t="s">
        <v>128</v>
      </c>
      <c r="R53" s="89" t="s">
        <v>128</v>
      </c>
      <c r="S53" s="28" t="s">
        <v>152</v>
      </c>
      <c r="T53" s="37">
        <f>T49/S49</f>
        <v>0.94973794158582536</v>
      </c>
      <c r="V53" s="238" t="s">
        <v>198</v>
      </c>
      <c r="W53" s="239"/>
      <c r="X53" s="239"/>
      <c r="Y53" s="239"/>
      <c r="Z53" s="239"/>
      <c r="AA53" s="239"/>
      <c r="AB53" s="239"/>
      <c r="AC53" s="239"/>
      <c r="AD53" s="240"/>
      <c r="AF53" s="136"/>
      <c r="AG53" s="8"/>
      <c r="AH53" s="8"/>
      <c r="AI53" s="8"/>
      <c r="AJ53" s="8"/>
      <c r="AK53" s="216"/>
      <c r="AQ53" s="8"/>
      <c r="AR53" s="8"/>
      <c r="BA53" s="187" t="s">
        <v>88</v>
      </c>
      <c r="BB53" s="206">
        <f t="shared" si="49"/>
        <v>4500</v>
      </c>
      <c r="BC53" s="206">
        <f t="shared" si="50"/>
        <v>450</v>
      </c>
      <c r="BD53" s="203"/>
      <c r="BE53" s="204"/>
      <c r="BF53" s="206">
        <f t="shared" si="51"/>
        <v>874.26944019220559</v>
      </c>
      <c r="BG53" s="203"/>
      <c r="BH53" s="206">
        <f t="shared" si="52"/>
        <v>424.26944019220559</v>
      </c>
      <c r="BI53" s="203"/>
      <c r="BJ53" s="206">
        <f t="shared" si="53"/>
        <v>23645.698271084293</v>
      </c>
      <c r="BK53" s="166"/>
      <c r="BN53" s="124" t="s">
        <v>126</v>
      </c>
      <c r="BP53" s="187" t="s">
        <v>88</v>
      </c>
      <c r="BQ53" s="185">
        <f t="shared" si="54"/>
        <v>2605</v>
      </c>
      <c r="BR53" s="185">
        <f t="shared" si="55"/>
        <v>450</v>
      </c>
      <c r="BS53" s="166"/>
      <c r="BT53" s="184"/>
      <c r="BU53" s="185">
        <f t="shared" si="56"/>
        <v>635.60169442250708</v>
      </c>
      <c r="BV53" s="166"/>
      <c r="BW53" s="185">
        <f t="shared" si="57"/>
        <v>185.60169442250708</v>
      </c>
      <c r="BX53" s="166"/>
      <c r="BY53" s="206">
        <f t="shared" si="58"/>
        <v>23645.698271084293</v>
      </c>
      <c r="BZ53" s="166"/>
      <c r="CA53" s="187" t="s">
        <v>88</v>
      </c>
      <c r="CB53" s="185">
        <f t="shared" si="59"/>
        <v>1895</v>
      </c>
      <c r="CC53" s="185">
        <f t="shared" si="60"/>
        <v>450</v>
      </c>
      <c r="CD53" s="166"/>
      <c r="CE53" s="184"/>
      <c r="CF53" s="185">
        <f t="shared" si="61"/>
        <v>1807.0405943835642</v>
      </c>
      <c r="CG53" s="166"/>
      <c r="CH53" s="185">
        <f t="shared" si="62"/>
        <v>1357.0405943835642</v>
      </c>
      <c r="CI53" s="166"/>
      <c r="CJ53" s="206">
        <f t="shared" si="63"/>
        <v>23645.698271084293</v>
      </c>
      <c r="CK53" s="166"/>
      <c r="CL53" s="286"/>
      <c r="CM53" s="8"/>
      <c r="CN53" s="8"/>
      <c r="CQ53" s="8"/>
      <c r="CS53" s="8"/>
      <c r="CU53" s="209"/>
    </row>
    <row r="54" spans="2:100" x14ac:dyDescent="0.3">
      <c r="C54" s="8"/>
      <c r="D54" s="8"/>
      <c r="E54" s="8"/>
      <c r="F54" s="8"/>
      <c r="G54" s="8"/>
      <c r="H54" s="8"/>
      <c r="I54" s="8"/>
      <c r="J54" s="8"/>
      <c r="K54" s="8"/>
      <c r="L54" s="8"/>
      <c r="M54" s="68" t="s">
        <v>129</v>
      </c>
      <c r="N54" s="71" t="s">
        <v>129</v>
      </c>
      <c r="O54" s="74" t="s">
        <v>136</v>
      </c>
      <c r="Q54" s="87" t="s">
        <v>129</v>
      </c>
      <c r="R54" s="89" t="s">
        <v>129</v>
      </c>
      <c r="S54" s="8"/>
      <c r="T54" s="8"/>
      <c r="V54" s="238"/>
      <c r="W54" s="241"/>
      <c r="X54" s="239"/>
      <c r="Y54" s="239"/>
      <c r="Z54" s="239"/>
      <c r="AA54" s="239"/>
      <c r="AB54" s="239"/>
      <c r="AC54" s="239"/>
      <c r="AD54" s="240"/>
      <c r="AF54" s="280"/>
      <c r="AG54" s="213"/>
      <c r="AJ54" s="8"/>
      <c r="AK54" s="216"/>
      <c r="AQ54" s="8"/>
      <c r="AR54" s="8"/>
      <c r="BA54" s="187" t="s">
        <v>89</v>
      </c>
      <c r="BB54" s="206">
        <f t="shared" si="49"/>
        <v>15500.000000000005</v>
      </c>
      <c r="BC54" s="206">
        <f t="shared" si="50"/>
        <v>800.00000000000057</v>
      </c>
      <c r="BD54" s="203"/>
      <c r="BE54" s="204"/>
      <c r="BF54" s="206">
        <f t="shared" si="51"/>
        <v>3011.3725162175983</v>
      </c>
      <c r="BG54" s="203"/>
      <c r="BH54" s="206">
        <f t="shared" si="52"/>
        <v>2211.3725162175979</v>
      </c>
      <c r="BI54" s="203"/>
      <c r="BJ54" s="206">
        <f t="shared" si="53"/>
        <v>49836.654201750978</v>
      </c>
      <c r="BK54" s="166"/>
      <c r="BN54" s="124" t="s">
        <v>156</v>
      </c>
      <c r="BP54" s="187" t="s">
        <v>89</v>
      </c>
      <c r="BQ54" s="185">
        <f t="shared" si="54"/>
        <v>13608.333333333299</v>
      </c>
      <c r="BR54" s="185">
        <f t="shared" si="55"/>
        <v>800.00000000000057</v>
      </c>
      <c r="BS54" s="166"/>
      <c r="BT54" s="184"/>
      <c r="BU54" s="185">
        <f t="shared" si="56"/>
        <v>3320.3377063082262</v>
      </c>
      <c r="BV54" s="166"/>
      <c r="BW54" s="185">
        <f t="shared" si="57"/>
        <v>2520.3377063082257</v>
      </c>
      <c r="BX54" s="166"/>
      <c r="BY54" s="206">
        <f t="shared" si="58"/>
        <v>49836.654201750978</v>
      </c>
      <c r="BZ54" s="166"/>
      <c r="CA54" s="187" t="s">
        <v>89</v>
      </c>
      <c r="CB54" s="185">
        <f t="shared" si="59"/>
        <v>2241.6666666666706</v>
      </c>
      <c r="CC54" s="185">
        <f t="shared" si="60"/>
        <v>800.00000000000057</v>
      </c>
      <c r="CD54" s="166"/>
      <c r="CE54" s="184"/>
      <c r="CF54" s="185">
        <f t="shared" si="61"/>
        <v>2137.6161824502183</v>
      </c>
      <c r="CG54" s="166"/>
      <c r="CH54" s="185">
        <f t="shared" si="62"/>
        <v>1337.6161824502178</v>
      </c>
      <c r="CI54" s="166"/>
      <c r="CJ54" s="206">
        <f t="shared" si="63"/>
        <v>49836.654201750978</v>
      </c>
      <c r="CK54" s="166"/>
      <c r="CL54" s="286"/>
      <c r="CM54" s="8"/>
      <c r="CN54" s="8"/>
      <c r="CQ54" s="8"/>
      <c r="CS54" s="8"/>
      <c r="CU54" s="209"/>
    </row>
    <row r="55" spans="2:100" ht="15" thickBot="1" x14ac:dyDescent="0.35">
      <c r="C55" s="8"/>
      <c r="D55" s="8"/>
      <c r="E55" s="8"/>
      <c r="F55" s="8"/>
      <c r="G55" s="8"/>
      <c r="H55" s="8"/>
      <c r="I55" s="8"/>
      <c r="J55" s="8"/>
      <c r="K55" s="8"/>
      <c r="L55" s="8"/>
      <c r="M55" s="69" t="s">
        <v>130</v>
      </c>
      <c r="N55" s="72" t="s">
        <v>131</v>
      </c>
      <c r="O55" s="66" t="s">
        <v>150</v>
      </c>
      <c r="Q55" s="88" t="s">
        <v>130</v>
      </c>
      <c r="R55" s="89" t="s">
        <v>131</v>
      </c>
      <c r="S55" s="110"/>
      <c r="T55" s="111"/>
      <c r="V55" s="242" t="s">
        <v>175</v>
      </c>
      <c r="W55" s="243"/>
      <c r="X55" s="244"/>
      <c r="Y55" s="244"/>
      <c r="Z55" s="244"/>
      <c r="AA55" s="244"/>
      <c r="AB55" s="244"/>
      <c r="AC55" s="244"/>
      <c r="AD55" s="245"/>
      <c r="AF55" s="281"/>
      <c r="AG55" s="136"/>
      <c r="AH55" s="213"/>
      <c r="AI55" s="8"/>
      <c r="AJ55" s="8"/>
      <c r="AK55" s="216"/>
      <c r="AQ55" s="8"/>
      <c r="AR55" s="8"/>
      <c r="BA55" s="187" t="s">
        <v>90</v>
      </c>
      <c r="BB55" s="206">
        <f t="shared" si="49"/>
        <v>295830.00000000041</v>
      </c>
      <c r="BC55" s="206">
        <f t="shared" si="50"/>
        <v>500.00000000000028</v>
      </c>
      <c r="BD55" s="203"/>
      <c r="BE55" s="204"/>
      <c r="BF55" s="206">
        <f t="shared" si="51"/>
        <v>57474.472998235673</v>
      </c>
      <c r="BG55" s="203"/>
      <c r="BH55" s="206">
        <f t="shared" si="52"/>
        <v>56974.472998235673</v>
      </c>
      <c r="BI55" s="203"/>
      <c r="BJ55" s="206">
        <f t="shared" si="53"/>
        <v>283609.80036898755</v>
      </c>
      <c r="BK55" s="166"/>
      <c r="BN55" s="125" t="s">
        <v>157</v>
      </c>
      <c r="BP55" s="187" t="s">
        <v>90</v>
      </c>
      <c r="BQ55" s="185">
        <f t="shared" si="54"/>
        <v>268009.79629747203</v>
      </c>
      <c r="BR55" s="185">
        <f t="shared" si="55"/>
        <v>500.00000000000028</v>
      </c>
      <c r="BS55" s="166"/>
      <c r="BT55" s="184"/>
      <c r="BU55" s="185">
        <f t="shared" si="56"/>
        <v>65392.506966796238</v>
      </c>
      <c r="BV55" s="166"/>
      <c r="BW55" s="185">
        <f t="shared" si="57"/>
        <v>64892.506966796238</v>
      </c>
      <c r="BX55" s="166"/>
      <c r="BY55" s="206">
        <f t="shared" si="58"/>
        <v>283609.80036898755</v>
      </c>
      <c r="BZ55" s="166"/>
      <c r="CA55" s="187" t="s">
        <v>90</v>
      </c>
      <c r="CB55" s="185">
        <f t="shared" si="59"/>
        <v>27820.203702528699</v>
      </c>
      <c r="CC55" s="185">
        <f t="shared" si="60"/>
        <v>500.00000000000028</v>
      </c>
      <c r="CD55" s="166"/>
      <c r="CE55" s="184"/>
      <c r="CF55" s="185">
        <f t="shared" si="61"/>
        <v>26528.885189704113</v>
      </c>
      <c r="CG55" s="166"/>
      <c r="CH55" s="185">
        <f t="shared" si="62"/>
        <v>26028.885189704113</v>
      </c>
      <c r="CI55" s="166"/>
      <c r="CJ55" s="206">
        <f t="shared" si="63"/>
        <v>283609.80036898755</v>
      </c>
      <c r="CK55" s="166"/>
      <c r="CL55" s="286"/>
      <c r="CM55" s="8"/>
      <c r="CN55" s="8"/>
      <c r="CQ55" s="8"/>
      <c r="CS55" s="8"/>
      <c r="CU55" s="209"/>
    </row>
    <row r="56" spans="2:100" ht="15" thickBot="1" x14ac:dyDescent="0.35">
      <c r="C56" s="8"/>
      <c r="D56" s="8"/>
      <c r="E56" s="8"/>
      <c r="F56" s="8"/>
      <c r="L56" s="8"/>
      <c r="M56" s="8"/>
      <c r="O56" s="8"/>
      <c r="R56" s="115" t="s">
        <v>132</v>
      </c>
      <c r="S56" s="112"/>
      <c r="T56" s="113"/>
      <c r="V56" s="114"/>
      <c r="AF56" s="281"/>
      <c r="AG56" s="136"/>
      <c r="AH56" s="213"/>
      <c r="AI56" s="8"/>
      <c r="AJ56" s="8"/>
      <c r="AK56" s="216"/>
      <c r="BA56" s="187" t="s">
        <v>91</v>
      </c>
      <c r="BB56" s="206">
        <f t="shared" si="49"/>
        <v>4700.0000000000045</v>
      </c>
      <c r="BC56" s="206">
        <f t="shared" si="50"/>
        <v>470.00000000000034</v>
      </c>
      <c r="BD56" s="203"/>
      <c r="BE56" s="204"/>
      <c r="BF56" s="206">
        <f t="shared" si="51"/>
        <v>913.12585975630452</v>
      </c>
      <c r="BG56" s="203"/>
      <c r="BH56" s="206">
        <f t="shared" si="52"/>
        <v>443.12585975630418</v>
      </c>
      <c r="BI56" s="203"/>
      <c r="BJ56" s="206">
        <f t="shared" si="53"/>
        <v>20330.935547343452</v>
      </c>
      <c r="BK56" s="166"/>
      <c r="BP56" s="187" t="s">
        <v>91</v>
      </c>
      <c r="BQ56" s="185">
        <f t="shared" si="54"/>
        <v>3865.9999999999995</v>
      </c>
      <c r="BR56" s="185">
        <f t="shared" si="55"/>
        <v>470.00000000000034</v>
      </c>
      <c r="BS56" s="166"/>
      <c r="BT56" s="184"/>
      <c r="BU56" s="185">
        <f t="shared" si="56"/>
        <v>943.2768332581237</v>
      </c>
      <c r="BV56" s="166"/>
      <c r="BW56" s="185">
        <f t="shared" si="57"/>
        <v>473.27683325812336</v>
      </c>
      <c r="BX56" s="166"/>
      <c r="BY56" s="206">
        <f t="shared" si="58"/>
        <v>20330.935547343452</v>
      </c>
      <c r="BZ56" s="166"/>
      <c r="CA56" s="187" t="s">
        <v>91</v>
      </c>
      <c r="CB56" s="185">
        <f t="shared" si="59"/>
        <v>834.00000000000534</v>
      </c>
      <c r="CC56" s="185">
        <f t="shared" si="60"/>
        <v>470.00000000000034</v>
      </c>
      <c r="CD56" s="166"/>
      <c r="CE56" s="184"/>
      <c r="CF56" s="185">
        <f t="shared" si="61"/>
        <v>795.28857821419638</v>
      </c>
      <c r="CG56" s="166"/>
      <c r="CH56" s="185">
        <f t="shared" si="62"/>
        <v>325.28857821419604</v>
      </c>
      <c r="CI56" s="166"/>
      <c r="CJ56" s="206">
        <f t="shared" si="63"/>
        <v>20330.935547343452</v>
      </c>
      <c r="CK56" s="166"/>
      <c r="CL56" s="286"/>
      <c r="CM56" s="8"/>
      <c r="CN56" s="8"/>
      <c r="CQ56" s="8"/>
      <c r="CS56" s="8"/>
      <c r="CU56" s="209"/>
    </row>
    <row r="57" spans="2:100" x14ac:dyDescent="0.3">
      <c r="C57" s="8"/>
      <c r="D57" s="8"/>
      <c r="E57" s="8"/>
      <c r="F57" s="8"/>
      <c r="L57" s="8"/>
      <c r="M57" s="233" t="s">
        <v>144</v>
      </c>
      <c r="N57" s="233" t="s">
        <v>144</v>
      </c>
      <c r="O57" s="233" t="s">
        <v>144</v>
      </c>
      <c r="S57" s="292"/>
      <c r="T57" s="293"/>
      <c r="V57" s="114"/>
      <c r="AF57" s="281"/>
      <c r="AG57" s="136"/>
      <c r="AH57" s="213"/>
      <c r="AI57" s="8"/>
      <c r="AJ57" s="8"/>
      <c r="AK57" s="216"/>
      <c r="BF57" s="8">
        <f>SUM(BF15:BF32)+SUM(BF39:BF56)</f>
        <v>5979458.2829204528</v>
      </c>
      <c r="BU57" s="8">
        <f>SUM(BU15:BU32)+SUM(BU39:BU56)</f>
        <v>5893747.827614828</v>
      </c>
      <c r="CC57" s="8"/>
      <c r="CF57" s="8">
        <f>SUM(CF15:CF32)+SUM(CF39:CF56)</f>
        <v>6771062.038491223</v>
      </c>
      <c r="CN57" s="8"/>
      <c r="CQ57" s="8"/>
    </row>
    <row r="58" spans="2:100" x14ac:dyDescent="0.3">
      <c r="B58" s="267"/>
      <c r="C58" s="8"/>
      <c r="D58" s="8"/>
      <c r="E58" s="8"/>
      <c r="F58" s="8"/>
      <c r="L58" s="8"/>
      <c r="M58" s="74" t="s">
        <v>145</v>
      </c>
      <c r="N58" s="74" t="s">
        <v>145</v>
      </c>
      <c r="O58" s="74" t="s">
        <v>145</v>
      </c>
      <c r="P58" s="207"/>
      <c r="R58" s="208"/>
      <c r="S58" s="292"/>
      <c r="T58" s="294"/>
      <c r="AF58" s="281"/>
      <c r="AG58" s="136"/>
      <c r="AH58" s="213"/>
      <c r="AI58" s="8"/>
      <c r="AJ58" s="8"/>
      <c r="AK58" s="216"/>
    </row>
    <row r="59" spans="2:100" x14ac:dyDescent="0.3">
      <c r="B59" s="267"/>
      <c r="C59" s="8"/>
      <c r="D59" s="8"/>
      <c r="E59" s="8"/>
      <c r="F59" s="8"/>
      <c r="L59" s="8"/>
      <c r="M59" s="74" t="s">
        <v>146</v>
      </c>
      <c r="N59" s="74" t="s">
        <v>146</v>
      </c>
      <c r="O59" s="74" t="s">
        <v>146</v>
      </c>
      <c r="Q59" s="209"/>
      <c r="R59" s="209"/>
      <c r="S59" s="295"/>
      <c r="T59" s="268"/>
      <c r="V59" s="114"/>
      <c r="AF59" s="281"/>
      <c r="AG59" s="136"/>
      <c r="AH59" s="213"/>
      <c r="AI59" s="136"/>
      <c r="AJ59" s="8"/>
      <c r="AK59" s="216"/>
    </row>
    <row r="60" spans="2:100" x14ac:dyDescent="0.3">
      <c r="C60" s="8"/>
      <c r="D60" s="8"/>
      <c r="E60" s="8"/>
      <c r="F60" s="8"/>
      <c r="L60" s="8"/>
      <c r="M60" s="74" t="s">
        <v>147</v>
      </c>
      <c r="N60" s="74" t="s">
        <v>148</v>
      </c>
      <c r="O60" s="74" t="s">
        <v>149</v>
      </c>
      <c r="P60" s="210"/>
      <c r="Q60" s="209"/>
      <c r="R60" s="209"/>
      <c r="S60" s="110"/>
      <c r="T60" s="296"/>
      <c r="AF60" s="1"/>
      <c r="AG60" s="1"/>
      <c r="AH60" s="1"/>
      <c r="AI60" s="1"/>
      <c r="AJ60" s="136"/>
      <c r="AK60" s="218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</row>
    <row r="61" spans="2:100" ht="15" thickBot="1" x14ac:dyDescent="0.35">
      <c r="B61" s="267"/>
      <c r="C61" s="8"/>
      <c r="D61" s="8"/>
      <c r="E61" s="8"/>
      <c r="F61" s="8"/>
      <c r="L61" s="8"/>
      <c r="M61" s="234">
        <f>T49/M49</f>
        <v>0.21877369489640927</v>
      </c>
      <c r="N61" s="234">
        <f>T49/N49</f>
        <v>0.27475122417571013</v>
      </c>
      <c r="O61" s="234">
        <f>T49/O49</f>
        <v>1.0737940967405022</v>
      </c>
      <c r="P61" s="130"/>
      <c r="Q61" s="211"/>
      <c r="R61" s="211"/>
      <c r="S61" s="212"/>
      <c r="T61" s="213"/>
      <c r="V61" s="1"/>
      <c r="AF61" s="1"/>
      <c r="AG61" s="1"/>
      <c r="AH61" s="1"/>
      <c r="AI61" s="1"/>
      <c r="AJ61" s="136"/>
      <c r="AK61" s="218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</row>
    <row r="62" spans="2:100" ht="18" x14ac:dyDescent="0.3">
      <c r="C62" s="8"/>
      <c r="D62" s="8"/>
      <c r="E62" s="8"/>
      <c r="F62" s="8"/>
      <c r="L62" s="8"/>
      <c r="M62" s="1"/>
      <c r="N62" s="1"/>
      <c r="O62" s="1"/>
      <c r="P62" s="214"/>
      <c r="Q62" s="1"/>
      <c r="R62" s="1"/>
      <c r="S62" s="215"/>
      <c r="T62" s="1"/>
      <c r="U62" s="1"/>
      <c r="V62" s="1"/>
      <c r="W62" s="1"/>
      <c r="X62" s="1"/>
      <c r="Y62" s="1"/>
      <c r="Z62" s="1"/>
      <c r="AF62" s="282"/>
      <c r="AG62" s="1"/>
      <c r="AH62" s="136"/>
      <c r="AI62" s="136"/>
      <c r="AJ62" s="8"/>
      <c r="AK62" s="216"/>
    </row>
    <row r="63" spans="2:100" x14ac:dyDescent="0.3">
      <c r="C63" s="8"/>
      <c r="D63" s="8"/>
      <c r="E63" s="8"/>
      <c r="F63" s="8"/>
      <c r="L63" s="8"/>
      <c r="M63" s="90"/>
      <c r="V63" s="114"/>
      <c r="Y63" s="114"/>
      <c r="AB63" s="114"/>
      <c r="AF63" s="136"/>
      <c r="AG63" s="1"/>
      <c r="AH63" s="136"/>
      <c r="AI63" s="136"/>
      <c r="AJ63" s="8"/>
      <c r="AK63" s="216"/>
    </row>
    <row r="64" spans="2:100" x14ac:dyDescent="0.3">
      <c r="C64" s="8"/>
      <c r="D64" s="8"/>
      <c r="E64" s="8"/>
      <c r="F64" s="8"/>
      <c r="L64" s="8"/>
      <c r="M64" s="91"/>
      <c r="V64" s="114"/>
      <c r="Y64" s="114"/>
      <c r="AB64" s="114"/>
      <c r="AF64" s="136"/>
      <c r="AG64" s="1"/>
      <c r="AH64" s="136"/>
      <c r="AI64" s="136"/>
      <c r="AK64" s="216"/>
    </row>
    <row r="65" spans="3:44" x14ac:dyDescent="0.3">
      <c r="C65" s="8"/>
      <c r="D65" s="8"/>
      <c r="E65" s="8"/>
      <c r="F65" s="8"/>
      <c r="L65" s="8"/>
      <c r="M65" s="8"/>
      <c r="V65" s="114"/>
      <c r="Y65" s="114"/>
      <c r="AB65" s="114"/>
      <c r="AF65" s="136"/>
      <c r="AG65" s="136"/>
      <c r="AH65" s="136"/>
      <c r="AI65" s="136"/>
      <c r="AK65" s="216"/>
    </row>
    <row r="66" spans="3:44" x14ac:dyDescent="0.3">
      <c r="C66" s="8"/>
      <c r="D66" s="8"/>
      <c r="E66" s="8"/>
      <c r="F66" s="8"/>
      <c r="L66" s="8"/>
      <c r="M66" s="8"/>
      <c r="V66" s="114"/>
      <c r="Y66" s="114"/>
      <c r="AB66" s="114"/>
      <c r="AF66" s="1"/>
      <c r="AG66" s="1"/>
      <c r="AH66" s="1"/>
      <c r="AI66" s="1"/>
      <c r="AK66" s="216"/>
    </row>
    <row r="67" spans="3:44" x14ac:dyDescent="0.3"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Q67" s="8"/>
      <c r="R67" s="8"/>
      <c r="S67" s="8"/>
      <c r="T67" s="8"/>
      <c r="V67" s="114"/>
      <c r="Y67" s="114"/>
      <c r="AB67" s="114"/>
      <c r="AQ67" s="8"/>
      <c r="AR67" s="8"/>
    </row>
    <row r="68" spans="3:44" x14ac:dyDescent="0.3"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Q68" s="8"/>
      <c r="R68" s="8"/>
      <c r="S68" s="8"/>
      <c r="T68" s="8"/>
      <c r="V68" s="114"/>
      <c r="Y68" s="114"/>
      <c r="AB68" s="114"/>
      <c r="AQ68" s="8"/>
      <c r="AR68" s="8"/>
    </row>
    <row r="69" spans="3:44" x14ac:dyDescent="0.3"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Q69" s="8"/>
      <c r="R69" s="8"/>
      <c r="S69" s="8"/>
      <c r="T69" s="8"/>
      <c r="V69" s="114"/>
      <c r="Y69" s="114"/>
      <c r="AB69" s="114"/>
      <c r="AQ69" s="8"/>
      <c r="AR69" s="8"/>
    </row>
    <row r="70" spans="3:44" x14ac:dyDescent="0.3"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Q70" s="8"/>
      <c r="R70" s="8"/>
      <c r="S70" s="8"/>
      <c r="T70" s="8"/>
      <c r="V70" s="114"/>
      <c r="Y70" s="114"/>
      <c r="AB70" s="114"/>
      <c r="AQ70" s="8"/>
      <c r="AR70" s="8"/>
    </row>
    <row r="71" spans="3:44" x14ac:dyDescent="0.3"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Q71" s="8"/>
      <c r="R71" s="8"/>
      <c r="S71" s="8"/>
      <c r="T71" s="8"/>
      <c r="V71" s="114"/>
      <c r="Y71" s="114"/>
      <c r="AB71" s="114"/>
      <c r="AQ71" s="8"/>
      <c r="AR71" s="8"/>
    </row>
    <row r="72" spans="3:44" x14ac:dyDescent="0.3"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Q72" s="8"/>
      <c r="R72" s="8"/>
      <c r="S72" s="8"/>
      <c r="T72" s="8"/>
      <c r="V72" s="114"/>
      <c r="Y72" s="114"/>
      <c r="AB72" s="114"/>
      <c r="AQ72" s="8"/>
      <c r="AR72" s="8"/>
    </row>
    <row r="73" spans="3:44" x14ac:dyDescent="0.3"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V73" s="114"/>
      <c r="Y73" s="114"/>
      <c r="AB73" s="114"/>
      <c r="AQ73" s="8"/>
      <c r="AR73" s="8"/>
    </row>
    <row r="74" spans="3:44" x14ac:dyDescent="0.3"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AQ74" s="8"/>
      <c r="AR74" s="8"/>
    </row>
    <row r="75" spans="3:44" x14ac:dyDescent="0.3"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AQ75" s="8"/>
      <c r="AR75" s="8"/>
    </row>
    <row r="76" spans="3:44" x14ac:dyDescent="0.3"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AQ76" s="8"/>
      <c r="AR76" s="8"/>
    </row>
    <row r="77" spans="3:44" x14ac:dyDescent="0.3"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AQ77" s="8"/>
      <c r="AR77" s="8"/>
    </row>
    <row r="78" spans="3:44" x14ac:dyDescent="0.3"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AQ78" s="8"/>
      <c r="AR78" s="8"/>
    </row>
    <row r="79" spans="3:44" x14ac:dyDescent="0.3"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AQ79" s="8"/>
      <c r="AR79" s="8"/>
    </row>
    <row r="80" spans="3:44" x14ac:dyDescent="0.3"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AQ80" s="8"/>
      <c r="AR80" s="8"/>
    </row>
    <row r="81" spans="3:44" x14ac:dyDescent="0.3"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AQ81" s="8"/>
      <c r="AR81" s="8"/>
    </row>
    <row r="82" spans="3:44" x14ac:dyDescent="0.3"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</row>
    <row r="83" spans="3:44" x14ac:dyDescent="0.3"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</row>
    <row r="84" spans="3:44" x14ac:dyDescent="0.3"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</row>
    <row r="85" spans="3:44" x14ac:dyDescent="0.3"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</row>
    <row r="86" spans="3:44" x14ac:dyDescent="0.3"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</row>
  </sheetData>
  <phoneticPr fontId="13" type="noConversion"/>
  <pageMargins left="0.75" right="0.75" top="1" bottom="1" header="0.5" footer="0.5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9EE33-40A2-4E7A-B3F2-FDC072527C63}">
  <dimension ref="A1:AD83"/>
  <sheetViews>
    <sheetView workbookViewId="0">
      <selection activeCell="B9" sqref="B9"/>
    </sheetView>
  </sheetViews>
  <sheetFormatPr defaultRowHeight="14.4" x14ac:dyDescent="0.3"/>
  <cols>
    <col min="1" max="1" width="28.5546875" customWidth="1"/>
    <col min="2" max="2" width="58.44140625" customWidth="1"/>
    <col min="3" max="3" width="22" customWidth="1"/>
    <col min="4" max="4" width="38.88671875" customWidth="1"/>
    <col min="5" max="5" width="27.44140625" customWidth="1"/>
    <col min="6" max="6" width="26.6640625" customWidth="1"/>
    <col min="7" max="7" width="23.6640625" customWidth="1"/>
    <col min="8" max="8" width="22" customWidth="1"/>
    <col min="9" max="9" width="38.88671875" customWidth="1"/>
    <col min="10" max="10" width="27.44140625" customWidth="1"/>
    <col min="11" max="11" width="26.6640625" customWidth="1"/>
    <col min="12" max="12" width="23.6640625" customWidth="1"/>
    <col min="13" max="13" width="22" customWidth="1"/>
    <col min="14" max="14" width="38.88671875" customWidth="1"/>
    <col min="15" max="15" width="26.6640625" customWidth="1"/>
    <col min="16" max="16" width="23.6640625" customWidth="1"/>
    <col min="17" max="17" width="22" customWidth="1"/>
    <col min="18" max="18" width="38.88671875" customWidth="1"/>
    <col min="19" max="19" width="27.44140625" customWidth="1"/>
    <col min="20" max="20" width="26.6640625" customWidth="1"/>
    <col min="21" max="21" width="23.6640625" customWidth="1"/>
    <col min="22" max="22" width="22" customWidth="1"/>
    <col min="23" max="23" width="38.88671875" customWidth="1"/>
    <col min="24" max="24" width="26.6640625" customWidth="1"/>
    <col min="25" max="25" width="23.6640625" customWidth="1"/>
    <col min="26" max="26" width="22" customWidth="1"/>
    <col min="27" max="27" width="38.88671875" customWidth="1"/>
    <col min="28" max="28" width="27.44140625" customWidth="1"/>
    <col min="29" max="29" width="26.6640625" customWidth="1"/>
    <col min="30" max="30" width="23.6640625" customWidth="1"/>
  </cols>
  <sheetData>
    <row r="1" spans="1:30" x14ac:dyDescent="0.3">
      <c r="A1" s="1" t="s">
        <v>0</v>
      </c>
    </row>
    <row r="3" spans="1:30" x14ac:dyDescent="0.3">
      <c r="A3" s="1" t="s">
        <v>1</v>
      </c>
    </row>
    <row r="4" spans="1:30" x14ac:dyDescent="0.3">
      <c r="A4" s="1" t="s">
        <v>2</v>
      </c>
      <c r="B4" s="1" t="s">
        <v>3</v>
      </c>
    </row>
    <row r="5" spans="1:30" x14ac:dyDescent="0.3">
      <c r="A5" s="2" t="s">
        <v>4</v>
      </c>
      <c r="B5" s="2" t="s">
        <v>5</v>
      </c>
    </row>
    <row r="6" spans="1:30" x14ac:dyDescent="0.3">
      <c r="A6" s="2" t="s">
        <v>6</v>
      </c>
      <c r="B6" s="2" t="s">
        <v>7</v>
      </c>
    </row>
    <row r="9" spans="1:30" x14ac:dyDescent="0.3">
      <c r="C9" s="3" t="s">
        <v>8</v>
      </c>
      <c r="D9" s="3" t="s">
        <v>8</v>
      </c>
      <c r="E9" s="3" t="s">
        <v>8</v>
      </c>
      <c r="F9" s="3" t="s">
        <v>8</v>
      </c>
      <c r="G9" s="3" t="s">
        <v>8</v>
      </c>
      <c r="H9" s="3" t="s">
        <v>8</v>
      </c>
      <c r="I9" s="3" t="s">
        <v>8</v>
      </c>
      <c r="J9" s="3" t="s">
        <v>8</v>
      </c>
      <c r="K9" s="3" t="s">
        <v>8</v>
      </c>
      <c r="L9" s="3" t="s">
        <v>8</v>
      </c>
      <c r="M9" s="3" t="s">
        <v>9</v>
      </c>
      <c r="N9" s="3" t="s">
        <v>9</v>
      </c>
      <c r="O9" s="3" t="s">
        <v>9</v>
      </c>
      <c r="P9" s="3" t="s">
        <v>9</v>
      </c>
      <c r="Q9" s="3" t="s">
        <v>9</v>
      </c>
      <c r="R9" s="3" t="s">
        <v>9</v>
      </c>
      <c r="S9" s="3" t="s">
        <v>9</v>
      </c>
      <c r="T9" s="3" t="s">
        <v>9</v>
      </c>
      <c r="U9" s="3" t="s">
        <v>9</v>
      </c>
      <c r="V9" s="3" t="s">
        <v>10</v>
      </c>
      <c r="W9" s="3" t="s">
        <v>10</v>
      </c>
      <c r="X9" s="3" t="s">
        <v>10</v>
      </c>
      <c r="Y9" s="3" t="s">
        <v>10</v>
      </c>
      <c r="Z9" s="3" t="s">
        <v>10</v>
      </c>
      <c r="AA9" s="3" t="s">
        <v>10</v>
      </c>
      <c r="AB9" s="3" t="s">
        <v>10</v>
      </c>
      <c r="AC9" s="3" t="s">
        <v>10</v>
      </c>
      <c r="AD9" s="3" t="s">
        <v>10</v>
      </c>
    </row>
    <row r="10" spans="1:30" x14ac:dyDescent="0.3">
      <c r="C10" s="3" t="s">
        <v>11</v>
      </c>
      <c r="D10" s="3" t="s">
        <v>11</v>
      </c>
      <c r="E10" s="3" t="s">
        <v>11</v>
      </c>
      <c r="F10" s="3" t="s">
        <v>11</v>
      </c>
      <c r="G10" s="3" t="s">
        <v>11</v>
      </c>
      <c r="H10" s="3" t="s">
        <v>12</v>
      </c>
      <c r="I10" s="3" t="s">
        <v>12</v>
      </c>
      <c r="J10" s="3" t="s">
        <v>12</v>
      </c>
      <c r="K10" s="3" t="s">
        <v>12</v>
      </c>
      <c r="L10" s="3" t="s">
        <v>12</v>
      </c>
      <c r="M10" s="3" t="s">
        <v>11</v>
      </c>
      <c r="N10" s="3" t="s">
        <v>11</v>
      </c>
      <c r="O10" s="3" t="s">
        <v>11</v>
      </c>
      <c r="P10" s="3" t="s">
        <v>11</v>
      </c>
      <c r="Q10" s="3" t="s">
        <v>12</v>
      </c>
      <c r="R10" s="3" t="s">
        <v>12</v>
      </c>
      <c r="S10" s="3" t="s">
        <v>12</v>
      </c>
      <c r="T10" s="3" t="s">
        <v>12</v>
      </c>
      <c r="U10" s="3" t="s">
        <v>12</v>
      </c>
      <c r="V10" s="3" t="s">
        <v>11</v>
      </c>
      <c r="W10" s="3" t="s">
        <v>11</v>
      </c>
      <c r="X10" s="3" t="s">
        <v>11</v>
      </c>
      <c r="Y10" s="3" t="s">
        <v>11</v>
      </c>
      <c r="Z10" s="3" t="s">
        <v>12</v>
      </c>
      <c r="AA10" s="3" t="s">
        <v>12</v>
      </c>
      <c r="AB10" s="3" t="s">
        <v>12</v>
      </c>
      <c r="AC10" s="3" t="s">
        <v>12</v>
      </c>
      <c r="AD10" s="3" t="s">
        <v>12</v>
      </c>
    </row>
    <row r="11" spans="1:30" x14ac:dyDescent="0.3">
      <c r="C11" s="3" t="s">
        <v>13</v>
      </c>
      <c r="D11" s="3" t="s">
        <v>14</v>
      </c>
      <c r="E11" s="3" t="s">
        <v>15</v>
      </c>
      <c r="F11" s="3" t="s">
        <v>16</v>
      </c>
      <c r="G11" s="3" t="s">
        <v>17</v>
      </c>
      <c r="H11" s="3" t="s">
        <v>13</v>
      </c>
      <c r="I11" s="3" t="s">
        <v>14</v>
      </c>
      <c r="J11" s="3" t="s">
        <v>15</v>
      </c>
      <c r="K11" s="3" t="s">
        <v>16</v>
      </c>
      <c r="L11" s="3" t="s">
        <v>17</v>
      </c>
      <c r="M11" s="3" t="s">
        <v>13</v>
      </c>
      <c r="N11" s="3" t="s">
        <v>14</v>
      </c>
      <c r="O11" s="3" t="s">
        <v>16</v>
      </c>
      <c r="P11" s="3" t="s">
        <v>17</v>
      </c>
      <c r="Q11" s="3" t="s">
        <v>13</v>
      </c>
      <c r="R11" s="3" t="s">
        <v>14</v>
      </c>
      <c r="S11" s="3" t="s">
        <v>15</v>
      </c>
      <c r="T11" s="3" t="s">
        <v>16</v>
      </c>
      <c r="U11" s="3" t="s">
        <v>17</v>
      </c>
      <c r="V11" s="3" t="s">
        <v>13</v>
      </c>
      <c r="W11" s="3" t="s">
        <v>14</v>
      </c>
      <c r="X11" s="3" t="s">
        <v>16</v>
      </c>
      <c r="Y11" s="3" t="s">
        <v>17</v>
      </c>
      <c r="Z11" s="3" t="s">
        <v>13</v>
      </c>
      <c r="AA11" s="3" t="s">
        <v>14</v>
      </c>
      <c r="AB11" s="3" t="s">
        <v>15</v>
      </c>
      <c r="AC11" s="3" t="s">
        <v>16</v>
      </c>
      <c r="AD11" s="3" t="s">
        <v>17</v>
      </c>
    </row>
    <row r="12" spans="1:30" x14ac:dyDescent="0.3">
      <c r="A12" s="4" t="s">
        <v>18</v>
      </c>
      <c r="B12" s="4" t="s">
        <v>19</v>
      </c>
      <c r="C12" s="5"/>
      <c r="D12" s="6"/>
      <c r="E12" s="5"/>
      <c r="F12" s="6"/>
      <c r="G12" s="5"/>
      <c r="H12" s="5"/>
      <c r="I12" s="6"/>
      <c r="J12" s="5"/>
      <c r="K12" s="6"/>
      <c r="L12" s="5"/>
      <c r="M12" s="5">
        <v>209</v>
      </c>
      <c r="N12" s="6">
        <v>49.19</v>
      </c>
      <c r="O12" s="6">
        <v>159.81</v>
      </c>
      <c r="P12" s="5"/>
      <c r="Q12" s="5"/>
      <c r="R12" s="6"/>
      <c r="S12" s="5"/>
      <c r="T12" s="6"/>
      <c r="U12" s="5"/>
      <c r="V12" s="5">
        <v>5025</v>
      </c>
      <c r="W12" s="6"/>
      <c r="X12" s="6">
        <v>5025</v>
      </c>
      <c r="Y12" s="5"/>
      <c r="Z12" s="5"/>
      <c r="AA12" s="6"/>
      <c r="AB12" s="5"/>
      <c r="AC12" s="6"/>
      <c r="AD12" s="5"/>
    </row>
    <row r="13" spans="1:30" x14ac:dyDescent="0.3">
      <c r="A13" s="4" t="s">
        <v>18</v>
      </c>
      <c r="B13" s="4" t="s">
        <v>20</v>
      </c>
      <c r="C13" s="5"/>
      <c r="D13" s="6">
        <v>-74253.440000000002</v>
      </c>
      <c r="E13" s="5">
        <v>-6073</v>
      </c>
      <c r="F13" s="6">
        <v>74253.440000000002</v>
      </c>
      <c r="G13" s="5"/>
      <c r="H13" s="5"/>
      <c r="I13" s="6"/>
      <c r="J13" s="5"/>
      <c r="K13" s="6"/>
      <c r="L13" s="5"/>
      <c r="M13" s="5"/>
      <c r="N13" s="6">
        <v>31.759999999999998</v>
      </c>
      <c r="O13" s="6">
        <v>-31.759999999999998</v>
      </c>
      <c r="P13" s="5"/>
      <c r="Q13" s="5"/>
      <c r="R13" s="6"/>
      <c r="S13" s="5"/>
      <c r="T13" s="6"/>
      <c r="U13" s="5"/>
      <c r="V13" s="5"/>
      <c r="W13" s="6">
        <v>13.39</v>
      </c>
      <c r="X13" s="6">
        <v>-13.39</v>
      </c>
      <c r="Y13" s="5"/>
      <c r="Z13" s="5"/>
      <c r="AA13" s="6"/>
      <c r="AB13" s="5"/>
      <c r="AC13" s="6"/>
      <c r="AD13" s="5"/>
    </row>
    <row r="14" spans="1:30" x14ac:dyDescent="0.3">
      <c r="A14" s="4" t="s">
        <v>18</v>
      </c>
      <c r="B14" s="4" t="s">
        <v>21</v>
      </c>
      <c r="C14" s="5"/>
      <c r="D14" s="6">
        <v>45124.789999999994</v>
      </c>
      <c r="E14" s="5"/>
      <c r="F14" s="6">
        <v>-45124.789999999994</v>
      </c>
      <c r="G14" s="5"/>
      <c r="H14" s="5"/>
      <c r="I14" s="6">
        <v>65000.000000000058</v>
      </c>
      <c r="J14" s="5"/>
      <c r="K14" s="6">
        <v>-65000.000000000058</v>
      </c>
      <c r="L14" s="5"/>
      <c r="M14" s="5"/>
      <c r="N14" s="6">
        <v>57397.599999999991</v>
      </c>
      <c r="O14" s="6">
        <v>-57397.599999999999</v>
      </c>
      <c r="P14" s="5"/>
      <c r="Q14" s="5"/>
      <c r="R14" s="6">
        <v>70000.000000000058</v>
      </c>
      <c r="S14" s="5"/>
      <c r="T14" s="6">
        <v>-70000.000000000044</v>
      </c>
      <c r="U14" s="5"/>
      <c r="V14" s="5"/>
      <c r="W14" s="6">
        <v>4684.8100000000004</v>
      </c>
      <c r="X14" s="6">
        <v>-4684.8099999999995</v>
      </c>
      <c r="Y14" s="5"/>
      <c r="Z14" s="5"/>
      <c r="AA14" s="6">
        <v>-5.4569682106375694E-12</v>
      </c>
      <c r="AB14" s="5"/>
      <c r="AC14" s="6">
        <v>5.1159076974727213E-12</v>
      </c>
      <c r="AD14" s="5"/>
    </row>
    <row r="15" spans="1:30" x14ac:dyDescent="0.3">
      <c r="A15" s="4" t="s">
        <v>18</v>
      </c>
      <c r="B15" s="4" t="s">
        <v>22</v>
      </c>
      <c r="C15" s="5"/>
      <c r="D15" s="6">
        <v>160652.44999999998</v>
      </c>
      <c r="E15" s="5"/>
      <c r="F15" s="6">
        <v>-160652.45000000001</v>
      </c>
      <c r="G15" s="5"/>
      <c r="H15" s="5"/>
      <c r="I15" s="6">
        <v>297802</v>
      </c>
      <c r="J15" s="5"/>
      <c r="K15" s="6">
        <v>-297802</v>
      </c>
      <c r="L15" s="5"/>
      <c r="M15" s="5">
        <v>300</v>
      </c>
      <c r="N15" s="6">
        <v>211790.96999999997</v>
      </c>
      <c r="O15" s="6">
        <v>-211490.97</v>
      </c>
      <c r="P15" s="5"/>
      <c r="Q15" s="5"/>
      <c r="R15" s="6">
        <v>291472</v>
      </c>
      <c r="S15" s="5"/>
      <c r="T15" s="6">
        <v>-291472</v>
      </c>
      <c r="U15" s="5"/>
      <c r="V15" s="5"/>
      <c r="W15" s="6">
        <v>143893.4</v>
      </c>
      <c r="X15" s="6">
        <v>-143893.4</v>
      </c>
      <c r="Y15" s="5"/>
      <c r="Z15" s="5"/>
      <c r="AA15" s="6">
        <v>870104.02290649689</v>
      </c>
      <c r="AB15" s="5">
        <v>-12770.389511064001</v>
      </c>
      <c r="AC15" s="6">
        <v>-870104.02290649654</v>
      </c>
      <c r="AD15" s="5"/>
    </row>
    <row r="16" spans="1:30" x14ac:dyDescent="0.3">
      <c r="A16" s="4" t="s">
        <v>18</v>
      </c>
      <c r="B16" s="4" t="s">
        <v>23</v>
      </c>
      <c r="C16" s="5">
        <v>2500</v>
      </c>
      <c r="D16" s="6">
        <v>1044926.51</v>
      </c>
      <c r="E16" s="5">
        <v>-85892</v>
      </c>
      <c r="F16" s="6">
        <v>-1042426.5099999999</v>
      </c>
      <c r="G16" s="5"/>
      <c r="H16" s="5"/>
      <c r="I16" s="6">
        <v>1191789.0173366636</v>
      </c>
      <c r="J16" s="5">
        <v>-34015.907147450183</v>
      </c>
      <c r="K16" s="6">
        <v>-1191789.0173366638</v>
      </c>
      <c r="L16" s="5"/>
      <c r="M16" s="5">
        <v>17102.900000000001</v>
      </c>
      <c r="N16" s="6">
        <v>1247493.95</v>
      </c>
      <c r="O16" s="6">
        <v>-1230391.05</v>
      </c>
      <c r="P16" s="5"/>
      <c r="Q16" s="5">
        <v>20000.000000000044</v>
      </c>
      <c r="R16" s="6">
        <v>1056747.2725157863</v>
      </c>
      <c r="S16" s="5">
        <v>-29924.144986464002</v>
      </c>
      <c r="T16" s="6">
        <v>-1036747.2725157861</v>
      </c>
      <c r="U16" s="5"/>
      <c r="V16" s="5"/>
      <c r="W16" s="6">
        <v>439062.86</v>
      </c>
      <c r="X16" s="6">
        <v>-439062.86</v>
      </c>
      <c r="Y16" s="5"/>
      <c r="Z16" s="5">
        <v>9999.9999999999964</v>
      </c>
      <c r="AA16" s="6">
        <v>336436.54253647523</v>
      </c>
      <c r="AB16" s="5">
        <v>-21975.530372784</v>
      </c>
      <c r="AC16" s="6">
        <v>-326436.54253647529</v>
      </c>
      <c r="AD16" s="5"/>
    </row>
    <row r="17" spans="1:30" x14ac:dyDescent="0.3">
      <c r="A17" s="4" t="s">
        <v>18</v>
      </c>
      <c r="B17" s="4" t="s">
        <v>24</v>
      </c>
      <c r="C17" s="5"/>
      <c r="D17" s="6">
        <v>303371.30000000005</v>
      </c>
      <c r="E17" s="5">
        <v>-14462</v>
      </c>
      <c r="F17" s="6">
        <v>-303371.3</v>
      </c>
      <c r="G17" s="5"/>
      <c r="H17" s="5"/>
      <c r="I17" s="6">
        <v>316324.60681471293</v>
      </c>
      <c r="J17" s="5">
        <v>-5144.3997095617533</v>
      </c>
      <c r="K17" s="6">
        <v>-316324.60681471298</v>
      </c>
      <c r="L17" s="5"/>
      <c r="M17" s="5"/>
      <c r="N17" s="6">
        <v>343720.03</v>
      </c>
      <c r="O17" s="6">
        <v>-343720.03000000009</v>
      </c>
      <c r="P17" s="5"/>
      <c r="Q17" s="5">
        <v>31218</v>
      </c>
      <c r="R17" s="6">
        <v>365516.6699347847</v>
      </c>
      <c r="S17" s="5">
        <v>-5247.1514735999999</v>
      </c>
      <c r="T17" s="6">
        <v>-334298.6699347847</v>
      </c>
      <c r="U17" s="5"/>
      <c r="V17" s="5"/>
      <c r="W17" s="6">
        <v>88952.73000000001</v>
      </c>
      <c r="X17" s="6">
        <v>-88952.73000000001</v>
      </c>
      <c r="Y17" s="5"/>
      <c r="Z17" s="5"/>
      <c r="AA17" s="6">
        <v>386768.54461820598</v>
      </c>
      <c r="AB17" s="5">
        <v>-5441.0563133999995</v>
      </c>
      <c r="AC17" s="6">
        <v>-386768.54461820598</v>
      </c>
      <c r="AD17" s="5"/>
    </row>
    <row r="18" spans="1:30" x14ac:dyDescent="0.3">
      <c r="A18" s="4" t="s">
        <v>18</v>
      </c>
      <c r="B18" s="4" t="s">
        <v>25</v>
      </c>
      <c r="C18" s="5">
        <v>28401.900000000005</v>
      </c>
      <c r="D18" s="6">
        <v>222421.61999999997</v>
      </c>
      <c r="E18" s="5">
        <v>-16724</v>
      </c>
      <c r="F18" s="6">
        <v>-194019.72000000003</v>
      </c>
      <c r="G18" s="5"/>
      <c r="H18" s="5">
        <v>50999.999999999978</v>
      </c>
      <c r="I18" s="6">
        <v>216675.23223703989</v>
      </c>
      <c r="J18" s="5">
        <v>-5331.0335015976107</v>
      </c>
      <c r="K18" s="6">
        <v>-165675.23223703995</v>
      </c>
      <c r="L18" s="5"/>
      <c r="M18" s="5">
        <v>34221.450000000004</v>
      </c>
      <c r="N18" s="6">
        <v>245703.57999999993</v>
      </c>
      <c r="O18" s="6">
        <v>-211482.13</v>
      </c>
      <c r="P18" s="5"/>
      <c r="Q18" s="5">
        <v>55000.000000000007</v>
      </c>
      <c r="R18" s="6">
        <v>221822.96407003337</v>
      </c>
      <c r="S18" s="5">
        <v>-5916.304319328</v>
      </c>
      <c r="T18" s="6">
        <v>-166822.9640700334</v>
      </c>
      <c r="U18" s="5"/>
      <c r="V18" s="5">
        <v>86.09</v>
      </c>
      <c r="W18" s="6">
        <v>68718.8</v>
      </c>
      <c r="X18" s="6">
        <v>-68632.710000000006</v>
      </c>
      <c r="Y18" s="5"/>
      <c r="Z18" s="5">
        <v>55000.000000000029</v>
      </c>
      <c r="AA18" s="6">
        <v>202481.45375474833</v>
      </c>
      <c r="AB18" s="5">
        <v>-5505.3936397799998</v>
      </c>
      <c r="AC18" s="6">
        <v>-147481.45375474833</v>
      </c>
      <c r="AD18" s="5"/>
    </row>
    <row r="19" spans="1:30" x14ac:dyDescent="0.3">
      <c r="A19" s="4" t="s">
        <v>18</v>
      </c>
      <c r="B19" s="4" t="s">
        <v>26</v>
      </c>
      <c r="C19" s="5">
        <v>138091.84</v>
      </c>
      <c r="D19" s="6">
        <v>340055.49</v>
      </c>
      <c r="E19" s="5">
        <v>-30826</v>
      </c>
      <c r="F19" s="6">
        <v>-201963.65000000002</v>
      </c>
      <c r="G19" s="5"/>
      <c r="H19" s="5">
        <v>45000.000000000029</v>
      </c>
      <c r="I19" s="6">
        <v>404537.50543431641</v>
      </c>
      <c r="J19" s="5">
        <v>-9931.6970508764971</v>
      </c>
      <c r="K19" s="6">
        <v>-359537.50543431635</v>
      </c>
      <c r="L19" s="5"/>
      <c r="M19" s="5">
        <v>1337289.4800000002</v>
      </c>
      <c r="N19" s="6">
        <v>530173.32999999996</v>
      </c>
      <c r="O19" s="6">
        <v>807116.14999999991</v>
      </c>
      <c r="P19" s="5"/>
      <c r="Q19" s="5">
        <v>59500</v>
      </c>
      <c r="R19" s="6">
        <v>354539.27197953989</v>
      </c>
      <c r="S19" s="5">
        <v>-9132.1231103999999</v>
      </c>
      <c r="T19" s="6">
        <v>-295039.27197953989</v>
      </c>
      <c r="U19" s="5"/>
      <c r="V19" s="5">
        <v>216827.01000000004</v>
      </c>
      <c r="W19" s="6">
        <v>183156.84</v>
      </c>
      <c r="X19" s="6">
        <v>33670.170000000035</v>
      </c>
      <c r="Y19" s="5"/>
      <c r="Z19" s="5">
        <v>684202</v>
      </c>
      <c r="AA19" s="6">
        <v>924909.55474693689</v>
      </c>
      <c r="AB19" s="5">
        <v>-16877.218952520001</v>
      </c>
      <c r="AC19" s="6">
        <v>-240707.55474693709</v>
      </c>
      <c r="AD19" s="5"/>
    </row>
    <row r="20" spans="1:30" x14ac:dyDescent="0.3">
      <c r="A20" s="4" t="s">
        <v>18</v>
      </c>
      <c r="B20" s="4" t="s">
        <v>27</v>
      </c>
      <c r="C20" s="5">
        <v>32660.47</v>
      </c>
      <c r="D20" s="6">
        <v>231920.22</v>
      </c>
      <c r="E20" s="5">
        <v>-14043</v>
      </c>
      <c r="F20" s="6">
        <v>-199259.75</v>
      </c>
      <c r="G20" s="5"/>
      <c r="H20" s="5">
        <v>35000</v>
      </c>
      <c r="I20" s="6">
        <v>229083.19611650816</v>
      </c>
      <c r="J20" s="5">
        <v>-6827.8553854780866</v>
      </c>
      <c r="K20" s="6">
        <v>-194083.19611650819</v>
      </c>
      <c r="L20" s="5"/>
      <c r="M20" s="5">
        <v>29790.28</v>
      </c>
      <c r="N20" s="6">
        <v>257629.18</v>
      </c>
      <c r="O20" s="6">
        <v>-227838.90000000002</v>
      </c>
      <c r="P20" s="5"/>
      <c r="Q20" s="5">
        <v>58000</v>
      </c>
      <c r="R20" s="6">
        <v>249892.71444197663</v>
      </c>
      <c r="S20" s="5">
        <v>-7705.8886607999993</v>
      </c>
      <c r="T20" s="6">
        <v>-191892.7144419766</v>
      </c>
      <c r="U20" s="5"/>
      <c r="V20" s="5">
        <v>10933.81</v>
      </c>
      <c r="W20" s="6">
        <v>68194.38</v>
      </c>
      <c r="X20" s="6">
        <v>-57260.569999999992</v>
      </c>
      <c r="Y20" s="5"/>
      <c r="Z20" s="5">
        <v>50000.000000000051</v>
      </c>
      <c r="AA20" s="6">
        <v>280218.99836004403</v>
      </c>
      <c r="AB20" s="5">
        <v>-8532.0302832000016</v>
      </c>
      <c r="AC20" s="6">
        <v>-230218.99836004394</v>
      </c>
      <c r="AD20" s="5"/>
    </row>
    <row r="21" spans="1:30" x14ac:dyDescent="0.3">
      <c r="A21" s="4" t="s">
        <v>18</v>
      </c>
      <c r="B21" s="4" t="s">
        <v>28</v>
      </c>
      <c r="C21" s="5">
        <v>94316</v>
      </c>
      <c r="D21" s="6">
        <v>217137.83</v>
      </c>
      <c r="E21" s="5">
        <v>-19828</v>
      </c>
      <c r="F21" s="6">
        <v>-122821.82999999999</v>
      </c>
      <c r="G21" s="5"/>
      <c r="H21" s="5">
        <v>101828.75</v>
      </c>
      <c r="I21" s="6">
        <v>252026.08173773409</v>
      </c>
      <c r="J21" s="5">
        <v>-7070.248868127489</v>
      </c>
      <c r="K21" s="6">
        <v>-150197.33173773409</v>
      </c>
      <c r="L21" s="5"/>
      <c r="M21" s="5">
        <v>90116</v>
      </c>
      <c r="N21" s="6">
        <v>251181.77999999997</v>
      </c>
      <c r="O21" s="6">
        <v>-161065.78</v>
      </c>
      <c r="P21" s="5"/>
      <c r="Q21" s="5">
        <v>89716</v>
      </c>
      <c r="R21" s="6">
        <v>229285.24987717016</v>
      </c>
      <c r="S21" s="5">
        <v>-7211.4414192000004</v>
      </c>
      <c r="T21" s="6">
        <v>-139569.24987717016</v>
      </c>
      <c r="U21" s="5"/>
      <c r="V21" s="5">
        <v>83866</v>
      </c>
      <c r="W21" s="6">
        <v>103743.08</v>
      </c>
      <c r="X21" s="6">
        <v>-19877.080000000005</v>
      </c>
      <c r="Y21" s="5"/>
      <c r="Z21" s="5">
        <v>90585</v>
      </c>
      <c r="AA21" s="6">
        <v>254304.55866713173</v>
      </c>
      <c r="AB21" s="5">
        <v>-7477.8769871999984</v>
      </c>
      <c r="AC21" s="6">
        <v>-163719.5586671317</v>
      </c>
      <c r="AD21" s="5"/>
    </row>
    <row r="22" spans="1:30" x14ac:dyDescent="0.3">
      <c r="A22" s="4" t="s">
        <v>18</v>
      </c>
      <c r="B22" s="4" t="s">
        <v>29</v>
      </c>
      <c r="C22" s="5">
        <v>3924.09</v>
      </c>
      <c r="D22" s="6">
        <v>603587.85000000009</v>
      </c>
      <c r="E22" s="5">
        <v>-44038</v>
      </c>
      <c r="F22" s="6">
        <v>-599663.76000000013</v>
      </c>
      <c r="G22" s="5"/>
      <c r="H22" s="5"/>
      <c r="I22" s="6">
        <v>512976.6767596713</v>
      </c>
      <c r="J22" s="5">
        <v>-15616.088214023897</v>
      </c>
      <c r="K22" s="6">
        <v>-512976.6767596713</v>
      </c>
      <c r="L22" s="5"/>
      <c r="M22" s="5">
        <v>2802.8300000000004</v>
      </c>
      <c r="N22" s="6">
        <v>488606.13999999996</v>
      </c>
      <c r="O22" s="6">
        <v>-485803.30999999994</v>
      </c>
      <c r="P22" s="5"/>
      <c r="Q22" s="5"/>
      <c r="R22" s="6">
        <v>577829.33992018329</v>
      </c>
      <c r="S22" s="5">
        <v>-18243.538970399997</v>
      </c>
      <c r="T22" s="6">
        <v>-577829.33992018341</v>
      </c>
      <c r="U22" s="5"/>
      <c r="V22" s="5">
        <v>1723.55</v>
      </c>
      <c r="W22" s="6">
        <v>165633.96000000002</v>
      </c>
      <c r="X22" s="6">
        <v>-163910.41</v>
      </c>
      <c r="Y22" s="5"/>
      <c r="Z22" s="5">
        <v>3999.9999999999964</v>
      </c>
      <c r="AA22" s="6">
        <v>613990.8007502096</v>
      </c>
      <c r="AB22" s="5">
        <v>-18864.526595399999</v>
      </c>
      <c r="AC22" s="6">
        <v>-609990.8007502096</v>
      </c>
      <c r="AD22" s="5"/>
    </row>
    <row r="23" spans="1:30" x14ac:dyDescent="0.3">
      <c r="A23" s="4" t="s">
        <v>18</v>
      </c>
      <c r="B23" s="4" t="s">
        <v>30</v>
      </c>
      <c r="C23" s="5">
        <v>2719000</v>
      </c>
      <c r="D23" s="6">
        <v>4732170.37</v>
      </c>
      <c r="E23" s="5">
        <v>-25486</v>
      </c>
      <c r="F23" s="6">
        <v>-2013170.3699999996</v>
      </c>
      <c r="G23" s="5"/>
      <c r="H23" s="5">
        <v>3084999.9999999958</v>
      </c>
      <c r="I23" s="6">
        <v>503191.34309187194</v>
      </c>
      <c r="J23" s="5">
        <v>-13789.743278486043</v>
      </c>
      <c r="K23" s="6">
        <v>2581808.6569081238</v>
      </c>
      <c r="L23" s="5"/>
      <c r="M23" s="5"/>
      <c r="N23" s="6">
        <v>269813.91000000032</v>
      </c>
      <c r="O23" s="6">
        <v>-269813.91000000027</v>
      </c>
      <c r="P23" s="5"/>
      <c r="Q23" s="5">
        <v>4506999.9999999963</v>
      </c>
      <c r="R23" s="6">
        <v>458348.53181222465</v>
      </c>
      <c r="S23" s="5">
        <v>-12462.058857600001</v>
      </c>
      <c r="T23" s="6">
        <v>4048651.4681877713</v>
      </c>
      <c r="U23" s="5"/>
      <c r="V23" s="5"/>
      <c r="W23" s="6">
        <v>65027.92</v>
      </c>
      <c r="X23" s="6">
        <v>-65027.920000000006</v>
      </c>
      <c r="Y23" s="5"/>
      <c r="Z23" s="5">
        <v>5000000.0000000037</v>
      </c>
      <c r="AA23" s="6">
        <v>143314.32548783688</v>
      </c>
      <c r="AB23" s="5">
        <v>-10286.323891200002</v>
      </c>
      <c r="AC23" s="6">
        <v>4856685.6745121675</v>
      </c>
      <c r="AD23" s="5"/>
    </row>
    <row r="24" spans="1:30" x14ac:dyDescent="0.3">
      <c r="A24" s="4" t="s">
        <v>18</v>
      </c>
      <c r="B24" s="4" t="s">
        <v>31</v>
      </c>
      <c r="C24" s="5"/>
      <c r="D24" s="6">
        <v>14334.62</v>
      </c>
      <c r="E24" s="5">
        <v>-22797</v>
      </c>
      <c r="F24" s="6">
        <v>-14334.620000000014</v>
      </c>
      <c r="G24" s="5"/>
      <c r="H24" s="5"/>
      <c r="I24" s="6">
        <v>186473.66192885078</v>
      </c>
      <c r="J24" s="5">
        <v>-6305.7102848605555</v>
      </c>
      <c r="K24" s="6">
        <v>-186473.66192885075</v>
      </c>
      <c r="L24" s="5"/>
      <c r="M24" s="5"/>
      <c r="N24" s="6">
        <v>-3775.9799999999896</v>
      </c>
      <c r="O24" s="6">
        <v>3775.9799999999814</v>
      </c>
      <c r="P24" s="5"/>
      <c r="Q24" s="5"/>
      <c r="R24" s="6">
        <v>157605.4122816629</v>
      </c>
      <c r="S24" s="5">
        <v>-9027.0141120000008</v>
      </c>
      <c r="T24" s="6">
        <v>-157605.4122816629</v>
      </c>
      <c r="U24" s="5"/>
      <c r="V24" s="5">
        <v>102.21</v>
      </c>
      <c r="W24" s="6">
        <v>63567.090000000011</v>
      </c>
      <c r="X24" s="6">
        <v>-63464.880000000005</v>
      </c>
      <c r="Y24" s="5"/>
      <c r="Z24" s="5"/>
      <c r="AA24" s="6">
        <v>303750.75878196262</v>
      </c>
      <c r="AB24" s="5">
        <v>-9986.1741503999983</v>
      </c>
      <c r="AC24" s="6">
        <v>-303750.75878196268</v>
      </c>
      <c r="AD24" s="5"/>
    </row>
    <row r="25" spans="1:30" x14ac:dyDescent="0.3">
      <c r="A25" s="4" t="s">
        <v>18</v>
      </c>
      <c r="B25" s="4" t="s">
        <v>32</v>
      </c>
      <c r="C25" s="5">
        <v>24858.080000000002</v>
      </c>
      <c r="D25" s="6">
        <v>-446315.02999999985</v>
      </c>
      <c r="E25" s="5">
        <v>-33657</v>
      </c>
      <c r="F25" s="6">
        <v>471173.11000000004</v>
      </c>
      <c r="G25" s="5"/>
      <c r="H25" s="5">
        <v>14125.000000000002</v>
      </c>
      <c r="I25" s="6">
        <v>394529.13515350164</v>
      </c>
      <c r="J25" s="5">
        <v>-11765.935939482069</v>
      </c>
      <c r="K25" s="6">
        <v>-380404.1351535017</v>
      </c>
      <c r="L25" s="5"/>
      <c r="M25" s="5">
        <v>31016.98</v>
      </c>
      <c r="N25" s="6">
        <v>-58307.099999999948</v>
      </c>
      <c r="O25" s="6">
        <v>89324.08</v>
      </c>
      <c r="P25" s="5"/>
      <c r="Q25" s="5">
        <v>16000</v>
      </c>
      <c r="R25" s="6">
        <v>-26162.979662446654</v>
      </c>
      <c r="S25" s="5">
        <v>-9069.4250496000004</v>
      </c>
      <c r="T25" s="6">
        <v>42162.97966244664</v>
      </c>
      <c r="U25" s="5"/>
      <c r="V25" s="5">
        <v>20300</v>
      </c>
      <c r="W25" s="6">
        <v>60708.859999999993</v>
      </c>
      <c r="X25" s="6">
        <v>-40408.859999999993</v>
      </c>
      <c r="Y25" s="5"/>
      <c r="Z25" s="5">
        <v>4999.9999999999936</v>
      </c>
      <c r="AA25" s="6">
        <v>-25598.102026283035</v>
      </c>
      <c r="AB25" s="5">
        <v>-16311.510809999998</v>
      </c>
      <c r="AC25" s="6">
        <v>30598.102026283028</v>
      </c>
      <c r="AD25" s="5"/>
    </row>
    <row r="26" spans="1:30" x14ac:dyDescent="0.3">
      <c r="A26" s="4" t="s">
        <v>18</v>
      </c>
      <c r="B26" s="4" t="s">
        <v>33</v>
      </c>
      <c r="C26" s="5">
        <v>890.06000000000006</v>
      </c>
      <c r="D26" s="6">
        <v>2504166.8099999996</v>
      </c>
      <c r="E26" s="5">
        <v>-168457</v>
      </c>
      <c r="F26" s="6">
        <v>-2503276.75</v>
      </c>
      <c r="G26" s="5"/>
      <c r="H26" s="5"/>
      <c r="I26" s="6">
        <v>2740213.2650024495</v>
      </c>
      <c r="J26" s="5">
        <v>-60662.962406294813</v>
      </c>
      <c r="K26" s="6">
        <v>-2740213.2650024495</v>
      </c>
      <c r="L26" s="5"/>
      <c r="M26" s="5">
        <v>7.99</v>
      </c>
      <c r="N26" s="6">
        <v>2693436.7099999995</v>
      </c>
      <c r="O26" s="6">
        <v>-2693428.7199999997</v>
      </c>
      <c r="P26" s="5"/>
      <c r="Q26" s="5"/>
      <c r="R26" s="6">
        <v>2720195.0820924728</v>
      </c>
      <c r="S26" s="5">
        <v>-60152.056843679995</v>
      </c>
      <c r="T26" s="6">
        <v>-2720195.0820924733</v>
      </c>
      <c r="U26" s="5"/>
      <c r="V26" s="5">
        <v>1.32</v>
      </c>
      <c r="W26" s="6">
        <v>667249.04999999993</v>
      </c>
      <c r="X26" s="6">
        <v>-667247.73</v>
      </c>
      <c r="Y26" s="5"/>
      <c r="Z26" s="5"/>
      <c r="AA26" s="6">
        <v>2750111.0021134531</v>
      </c>
      <c r="AB26" s="5">
        <v>-63127.852640639998</v>
      </c>
      <c r="AC26" s="6">
        <v>-2750111.0021134526</v>
      </c>
      <c r="AD26" s="5"/>
    </row>
    <row r="27" spans="1:30" x14ac:dyDescent="0.3">
      <c r="A27" s="4" t="s">
        <v>18</v>
      </c>
      <c r="B27" s="4" t="s">
        <v>34</v>
      </c>
      <c r="C27" s="5">
        <v>21540</v>
      </c>
      <c r="D27" s="6">
        <v>283391.21999999997</v>
      </c>
      <c r="E27" s="5">
        <v>-40969</v>
      </c>
      <c r="F27" s="6">
        <v>-261851.21999999997</v>
      </c>
      <c r="G27" s="5"/>
      <c r="H27" s="5">
        <v>36000</v>
      </c>
      <c r="I27" s="6">
        <v>348524.49463778135</v>
      </c>
      <c r="J27" s="5">
        <v>-11128.757517179278</v>
      </c>
      <c r="K27" s="6">
        <v>-312524.49463778129</v>
      </c>
      <c r="L27" s="5"/>
      <c r="M27" s="5">
        <v>20760</v>
      </c>
      <c r="N27" s="6">
        <v>300844.51999999996</v>
      </c>
      <c r="O27" s="6">
        <v>-280084.52</v>
      </c>
      <c r="P27" s="5"/>
      <c r="Q27" s="5">
        <v>33000</v>
      </c>
      <c r="R27" s="6">
        <v>314208.38207864651</v>
      </c>
      <c r="S27" s="5">
        <v>-11151.7873488</v>
      </c>
      <c r="T27" s="6">
        <v>-281208.38207864657</v>
      </c>
      <c r="U27" s="5"/>
      <c r="V27" s="5">
        <v>4215</v>
      </c>
      <c r="W27" s="6">
        <v>122447.56</v>
      </c>
      <c r="X27" s="6">
        <v>-118232.56</v>
      </c>
      <c r="Y27" s="5"/>
      <c r="Z27" s="5">
        <v>21000</v>
      </c>
      <c r="AA27" s="6">
        <v>325357.60118741234</v>
      </c>
      <c r="AB27" s="5">
        <v>-10157.244498</v>
      </c>
      <c r="AC27" s="6">
        <v>-304357.60118741228</v>
      </c>
      <c r="AD27" s="5"/>
    </row>
    <row r="28" spans="1:30" x14ac:dyDescent="0.3">
      <c r="A28" s="4" t="s">
        <v>18</v>
      </c>
      <c r="B28" s="4" t="s">
        <v>35</v>
      </c>
      <c r="C28" s="5"/>
      <c r="D28" s="6"/>
      <c r="E28" s="5"/>
      <c r="F28" s="6"/>
      <c r="G28" s="5"/>
      <c r="H28" s="5"/>
      <c r="I28" s="6"/>
      <c r="J28" s="5"/>
      <c r="K28" s="6"/>
      <c r="L28" s="5"/>
      <c r="M28" s="5"/>
      <c r="N28" s="6">
        <v>258.41999999999996</v>
      </c>
      <c r="O28" s="6">
        <v>-258.41999999999996</v>
      </c>
      <c r="P28" s="5"/>
      <c r="Q28" s="5"/>
      <c r="R28" s="6"/>
      <c r="S28" s="5"/>
      <c r="T28" s="6"/>
      <c r="U28" s="5"/>
      <c r="V28" s="5"/>
      <c r="W28" s="6"/>
      <c r="X28" s="6"/>
      <c r="Y28" s="5"/>
      <c r="Z28" s="5"/>
      <c r="AA28" s="6"/>
      <c r="AB28" s="5"/>
      <c r="AC28" s="6"/>
      <c r="AD28" s="5"/>
    </row>
    <row r="29" spans="1:30" x14ac:dyDescent="0.3">
      <c r="A29" s="4" t="s">
        <v>18</v>
      </c>
      <c r="B29" s="4" t="s">
        <v>36</v>
      </c>
      <c r="C29" s="5">
        <v>4929919.07</v>
      </c>
      <c r="D29" s="6">
        <v>5020757.4499999993</v>
      </c>
      <c r="E29" s="5">
        <v>-63630</v>
      </c>
      <c r="F29" s="6">
        <v>-90838.379999999685</v>
      </c>
      <c r="G29" s="5">
        <v>1306428.56</v>
      </c>
      <c r="H29" s="5">
        <v>5812375</v>
      </c>
      <c r="I29" s="6">
        <v>5431892.0725067984</v>
      </c>
      <c r="J29" s="5">
        <v>-13189.3315895259</v>
      </c>
      <c r="K29" s="6">
        <v>380482.92749320174</v>
      </c>
      <c r="L29" s="5">
        <v>1540279</v>
      </c>
      <c r="M29" s="5">
        <v>5986471.1399999997</v>
      </c>
      <c r="N29" s="6">
        <v>6248047.9700000007</v>
      </c>
      <c r="O29" s="6">
        <v>-261576.83000000007</v>
      </c>
      <c r="P29" s="5">
        <v>1567002.27</v>
      </c>
      <c r="Q29" s="5">
        <v>5303100</v>
      </c>
      <c r="R29" s="6">
        <v>5477843.4550207341</v>
      </c>
      <c r="S29" s="5">
        <v>-18926.71255584</v>
      </c>
      <c r="T29" s="6">
        <v>-174743.45502073463</v>
      </c>
      <c r="U29" s="5">
        <v>1405322</v>
      </c>
      <c r="V29" s="5">
        <v>10155</v>
      </c>
      <c r="W29" s="6">
        <v>255503.18</v>
      </c>
      <c r="X29" s="6">
        <v>-245348.17999999996</v>
      </c>
      <c r="Y29" s="5">
        <v>978.64</v>
      </c>
      <c r="Z29" s="5">
        <v>4815944</v>
      </c>
      <c r="AA29" s="6">
        <v>5104334.6711111628</v>
      </c>
      <c r="AB29" s="5">
        <v>-24895.92263184</v>
      </c>
      <c r="AC29" s="6">
        <v>-288390.671111162</v>
      </c>
      <c r="AD29" s="5">
        <v>1278875</v>
      </c>
    </row>
    <row r="30" spans="1:30" x14ac:dyDescent="0.3">
      <c r="A30" s="4" t="s">
        <v>18</v>
      </c>
      <c r="B30" s="4" t="s">
        <v>37</v>
      </c>
      <c r="C30" s="5">
        <v>342234.67</v>
      </c>
      <c r="D30" s="6">
        <v>781058.27</v>
      </c>
      <c r="E30" s="5">
        <v>-6905</v>
      </c>
      <c r="F30" s="6">
        <v>-438823.6</v>
      </c>
      <c r="G30" s="5">
        <v>90692.19</v>
      </c>
      <c r="H30" s="5">
        <v>1232250</v>
      </c>
      <c r="I30" s="6">
        <v>1072655.7876508385</v>
      </c>
      <c r="J30" s="5">
        <v>-8378.8852884023891</v>
      </c>
      <c r="K30" s="6">
        <v>159594.21234916162</v>
      </c>
      <c r="L30" s="5">
        <v>326546</v>
      </c>
      <c r="M30" s="5">
        <v>993409.19000000006</v>
      </c>
      <c r="N30" s="6">
        <v>2085034.8300000005</v>
      </c>
      <c r="O30" s="6">
        <v>-1091625.6400000001</v>
      </c>
      <c r="P30" s="5">
        <v>263253.40999999997</v>
      </c>
      <c r="Q30" s="5">
        <v>1778300</v>
      </c>
      <c r="R30" s="6">
        <v>2001843.4850069114</v>
      </c>
      <c r="S30" s="5">
        <v>-6308.9041852799992</v>
      </c>
      <c r="T30" s="6">
        <v>-223543.48500691139</v>
      </c>
      <c r="U30" s="5">
        <v>471250</v>
      </c>
      <c r="V30" s="5">
        <v>5000</v>
      </c>
      <c r="W30" s="6">
        <v>80617.87000000001</v>
      </c>
      <c r="X30" s="6">
        <v>-75617.87</v>
      </c>
      <c r="Y30" s="5"/>
      <c r="Z30" s="5">
        <v>1331875</v>
      </c>
      <c r="AA30" s="6">
        <v>1903431.9177777905</v>
      </c>
      <c r="AB30" s="5">
        <v>-6223.9806579599999</v>
      </c>
      <c r="AC30" s="6">
        <v>-571556.91777779057</v>
      </c>
      <c r="AD30" s="5">
        <v>352947</v>
      </c>
    </row>
    <row r="31" spans="1:30" x14ac:dyDescent="0.3">
      <c r="A31" s="4" t="s">
        <v>18</v>
      </c>
      <c r="B31" s="4" t="s">
        <v>38</v>
      </c>
      <c r="C31" s="5"/>
      <c r="D31" s="6">
        <v>6381.16</v>
      </c>
      <c r="E31" s="5"/>
      <c r="F31" s="6">
        <v>-6381.16</v>
      </c>
      <c r="G31" s="5"/>
      <c r="H31" s="5"/>
      <c r="I31" s="6">
        <v>6882.0000000000009</v>
      </c>
      <c r="J31" s="5"/>
      <c r="K31" s="6">
        <v>-6882.0000000000009</v>
      </c>
      <c r="L31" s="5"/>
      <c r="M31" s="5"/>
      <c r="N31" s="6">
        <v>-28909.089999999997</v>
      </c>
      <c r="O31" s="6">
        <v>28909.089999999997</v>
      </c>
      <c r="P31" s="5"/>
      <c r="Q31" s="5"/>
      <c r="R31" s="6">
        <v>-35627</v>
      </c>
      <c r="S31" s="5"/>
      <c r="T31" s="6">
        <v>35627</v>
      </c>
      <c r="U31" s="5"/>
      <c r="V31" s="5"/>
      <c r="W31" s="6"/>
      <c r="X31" s="6"/>
      <c r="Y31" s="5"/>
      <c r="Z31" s="5">
        <v>38600</v>
      </c>
      <c r="AA31" s="6">
        <v>47200</v>
      </c>
      <c r="AB31" s="5"/>
      <c r="AC31" s="6">
        <v>-8600</v>
      </c>
      <c r="AD31" s="5"/>
    </row>
    <row r="32" spans="1:30" x14ac:dyDescent="0.3">
      <c r="A32" s="4" t="s">
        <v>18</v>
      </c>
      <c r="B32" s="4" t="s">
        <v>39</v>
      </c>
      <c r="C32" s="5">
        <v>48807.530000000006</v>
      </c>
      <c r="D32" s="6">
        <v>575099.18999999994</v>
      </c>
      <c r="E32" s="5">
        <v>-70999</v>
      </c>
      <c r="F32" s="6">
        <v>-526291.65999999992</v>
      </c>
      <c r="G32" s="5"/>
      <c r="H32" s="5">
        <v>28800</v>
      </c>
      <c r="I32" s="6">
        <v>800895.97118773137</v>
      </c>
      <c r="J32" s="5">
        <v>-25998.357081155387</v>
      </c>
      <c r="K32" s="6">
        <v>-772095.97118773137</v>
      </c>
      <c r="L32" s="5"/>
      <c r="M32" s="5">
        <v>31150.190000000002</v>
      </c>
      <c r="N32" s="6">
        <v>673779.05999999982</v>
      </c>
      <c r="O32" s="6">
        <v>-642628.86999999988</v>
      </c>
      <c r="P32" s="5">
        <v>8254.8000000000011</v>
      </c>
      <c r="Q32" s="5">
        <v>42000</v>
      </c>
      <c r="R32" s="6">
        <v>773382.69842025684</v>
      </c>
      <c r="S32" s="5">
        <v>-26940.10564224</v>
      </c>
      <c r="T32" s="6">
        <v>-731382.69842025684</v>
      </c>
      <c r="U32" s="5"/>
      <c r="V32" s="5">
        <v>170.03</v>
      </c>
      <c r="W32" s="6">
        <v>203463.28999999998</v>
      </c>
      <c r="X32" s="6">
        <v>-203293.26</v>
      </c>
      <c r="Y32" s="5"/>
      <c r="Z32" s="5">
        <v>20000.000000000044</v>
      </c>
      <c r="AA32" s="6">
        <v>774808.90978592308</v>
      </c>
      <c r="AB32" s="5">
        <v>-28661.284070280002</v>
      </c>
      <c r="AC32" s="6">
        <v>-754808.90978592285</v>
      </c>
      <c r="AD32" s="5"/>
    </row>
    <row r="33" spans="1:30" x14ac:dyDescent="0.3">
      <c r="A33" s="4" t="s">
        <v>18</v>
      </c>
      <c r="B33" s="4" t="s">
        <v>40</v>
      </c>
      <c r="C33" s="5">
        <v>2235.67</v>
      </c>
      <c r="D33" s="6">
        <v>-520735.09999999992</v>
      </c>
      <c r="E33" s="5">
        <v>-15036.8</v>
      </c>
      <c r="F33" s="6">
        <v>522970.77</v>
      </c>
      <c r="G33" s="5"/>
      <c r="H33" s="5">
        <v>5500</v>
      </c>
      <c r="I33" s="6">
        <v>135066.70437351047</v>
      </c>
      <c r="J33" s="5">
        <v>-2348.6986477290829</v>
      </c>
      <c r="K33" s="6">
        <v>-129566.70437351047</v>
      </c>
      <c r="L33" s="5"/>
      <c r="M33" s="5">
        <v>10474</v>
      </c>
      <c r="N33" s="6">
        <v>106550.95</v>
      </c>
      <c r="O33" s="6">
        <v>-96076.95000000007</v>
      </c>
      <c r="P33" s="5">
        <v>-5479.39</v>
      </c>
      <c r="Q33" s="5">
        <v>3000</v>
      </c>
      <c r="R33" s="6">
        <v>179134.73709061529</v>
      </c>
      <c r="S33" s="5">
        <v>-3192.3360000000002</v>
      </c>
      <c r="T33" s="6">
        <v>-176134.73709061526</v>
      </c>
      <c r="U33" s="5"/>
      <c r="V33" s="5"/>
      <c r="W33" s="6">
        <v>58104.15</v>
      </c>
      <c r="X33" s="6">
        <v>-58104.15</v>
      </c>
      <c r="Y33" s="5"/>
      <c r="Z33" s="5">
        <v>10500</v>
      </c>
      <c r="AA33" s="6">
        <v>-26634.056960929782</v>
      </c>
      <c r="AB33" s="5">
        <v>-3242.8069379999997</v>
      </c>
      <c r="AC33" s="6">
        <v>37134.056960929782</v>
      </c>
      <c r="AD33" s="5"/>
    </row>
    <row r="34" spans="1:30" x14ac:dyDescent="0.3">
      <c r="A34" s="4" t="s">
        <v>18</v>
      </c>
      <c r="B34" s="4" t="s">
        <v>41</v>
      </c>
      <c r="C34" s="5">
        <v>476032.55999999994</v>
      </c>
      <c r="D34" s="6">
        <v>299164.96999999997</v>
      </c>
      <c r="E34" s="5">
        <v>-17014</v>
      </c>
      <c r="F34" s="6">
        <v>176867.58999999997</v>
      </c>
      <c r="G34" s="5">
        <v>126148.67</v>
      </c>
      <c r="H34" s="5">
        <v>675989.00000000047</v>
      </c>
      <c r="I34" s="6">
        <v>710624.81878100662</v>
      </c>
      <c r="J34" s="5">
        <v>-4590.0773125099604</v>
      </c>
      <c r="K34" s="6">
        <v>-34635.818781006237</v>
      </c>
      <c r="L34" s="5">
        <v>179136.99999999959</v>
      </c>
      <c r="M34" s="5">
        <v>597594.69999999995</v>
      </c>
      <c r="N34" s="6">
        <v>390080.56</v>
      </c>
      <c r="O34" s="6">
        <v>207514.14</v>
      </c>
      <c r="P34" s="5">
        <v>158362.59000000003</v>
      </c>
      <c r="Q34" s="5">
        <v>692000</v>
      </c>
      <c r="R34" s="6">
        <v>653528.94158856163</v>
      </c>
      <c r="S34" s="5">
        <v>-6884.5006080000003</v>
      </c>
      <c r="T34" s="6">
        <v>38471.058411438375</v>
      </c>
      <c r="U34" s="5">
        <v>183380.00000000003</v>
      </c>
      <c r="V34" s="5">
        <v>192920.82</v>
      </c>
      <c r="W34" s="6">
        <v>144826.79999999999</v>
      </c>
      <c r="X34" s="6">
        <v>48094.020000000004</v>
      </c>
      <c r="Y34" s="5">
        <v>14095.43</v>
      </c>
      <c r="Z34" s="5">
        <v>764499.99999999953</v>
      </c>
      <c r="AA34" s="6">
        <v>669914.93883904885</v>
      </c>
      <c r="AB34" s="5">
        <v>-7138.9042614</v>
      </c>
      <c r="AC34" s="6">
        <v>94585.06116095066</v>
      </c>
      <c r="AD34" s="5">
        <v>202592.99999999965</v>
      </c>
    </row>
    <row r="35" spans="1:30" x14ac:dyDescent="0.3">
      <c r="A35" s="4" t="s">
        <v>18</v>
      </c>
      <c r="B35" s="4" t="s">
        <v>42</v>
      </c>
      <c r="C35" s="5">
        <v>9329853.2599999998</v>
      </c>
      <c r="D35" s="6">
        <v>8634760.5999999996</v>
      </c>
      <c r="E35" s="5">
        <v>-410499</v>
      </c>
      <c r="F35" s="6">
        <v>695092.66000000015</v>
      </c>
      <c r="G35" s="5">
        <v>2472411.0999999996</v>
      </c>
      <c r="H35" s="5">
        <v>9343936.5200000014</v>
      </c>
      <c r="I35" s="6">
        <v>9162041.6938716546</v>
      </c>
      <c r="J35" s="5">
        <v>-141528.25777428283</v>
      </c>
      <c r="K35" s="6">
        <v>181894.82612834591</v>
      </c>
      <c r="L35" s="5">
        <v>2476143.1228</v>
      </c>
      <c r="M35" s="5">
        <v>8310427.9499999993</v>
      </c>
      <c r="N35" s="6">
        <v>8960719.7200000007</v>
      </c>
      <c r="O35" s="6">
        <v>-650291.77</v>
      </c>
      <c r="P35" s="5">
        <v>2151081.3899999997</v>
      </c>
      <c r="Q35" s="5">
        <v>9340334.5599999968</v>
      </c>
      <c r="R35" s="6">
        <v>8704860.1228283197</v>
      </c>
      <c r="S35" s="5">
        <v>-141707.31272654401</v>
      </c>
      <c r="T35" s="6">
        <v>635474.43717167573</v>
      </c>
      <c r="U35" s="5">
        <v>2475188.8000000003</v>
      </c>
      <c r="V35" s="5">
        <v>1979780.4</v>
      </c>
      <c r="W35" s="6">
        <v>2144908.1800000002</v>
      </c>
      <c r="X35" s="6">
        <v>-165127.78000000032</v>
      </c>
      <c r="Y35" s="5">
        <v>347692.08</v>
      </c>
      <c r="Z35" s="5">
        <v>9146009.9900000058</v>
      </c>
      <c r="AA35" s="6">
        <v>8840269.3866578192</v>
      </c>
      <c r="AB35" s="5">
        <v>-149769.28790118004</v>
      </c>
      <c r="AC35" s="6">
        <v>305740.60334218468</v>
      </c>
      <c r="AD35" s="5">
        <v>2447438</v>
      </c>
    </row>
    <row r="36" spans="1:30" x14ac:dyDescent="0.3">
      <c r="A36" s="4" t="s">
        <v>18</v>
      </c>
      <c r="B36" s="4" t="s">
        <v>43</v>
      </c>
      <c r="C36" s="5"/>
      <c r="D36" s="6"/>
      <c r="E36" s="5"/>
      <c r="F36" s="6"/>
      <c r="G36" s="5"/>
      <c r="H36" s="5"/>
      <c r="I36" s="6"/>
      <c r="J36" s="5"/>
      <c r="K36" s="6"/>
      <c r="L36" s="5"/>
      <c r="M36" s="5"/>
      <c r="N36" s="6"/>
      <c r="O36" s="6"/>
      <c r="P36" s="5"/>
      <c r="Q36" s="5"/>
      <c r="R36" s="6"/>
      <c r="S36" s="5"/>
      <c r="T36" s="6"/>
      <c r="U36" s="5"/>
      <c r="V36" s="5"/>
      <c r="W36" s="6"/>
      <c r="X36" s="6"/>
      <c r="Y36" s="5"/>
      <c r="Z36" s="5"/>
      <c r="AA36" s="6">
        <v>6.9091247017697253E-12</v>
      </c>
      <c r="AB36" s="5">
        <v>-1.4210854715202001E-13</v>
      </c>
      <c r="AC36" s="6">
        <v>-6.9091247017697253E-12</v>
      </c>
      <c r="AD36" s="5"/>
    </row>
    <row r="37" spans="1:30" x14ac:dyDescent="0.3">
      <c r="A37" s="4" t="s">
        <v>18</v>
      </c>
      <c r="B37" s="4" t="s">
        <v>44</v>
      </c>
      <c r="C37" s="5"/>
      <c r="D37" s="6">
        <v>114596.61</v>
      </c>
      <c r="E37" s="5">
        <v>-9968</v>
      </c>
      <c r="F37" s="6">
        <v>-114596.61</v>
      </c>
      <c r="G37" s="5"/>
      <c r="H37" s="5"/>
      <c r="I37" s="6">
        <v>136837.74945931276</v>
      </c>
      <c r="J37" s="5">
        <v>-3556.5455610358554</v>
      </c>
      <c r="K37" s="6">
        <v>-136837.74945931276</v>
      </c>
      <c r="L37" s="5"/>
      <c r="M37" s="5"/>
      <c r="N37" s="6">
        <v>173662.94999999998</v>
      </c>
      <c r="O37" s="6">
        <v>-173662.95</v>
      </c>
      <c r="P37" s="5"/>
      <c r="Q37" s="5"/>
      <c r="R37" s="6">
        <v>75711.967335073947</v>
      </c>
      <c r="S37" s="5">
        <v>-3628.2266784000003</v>
      </c>
      <c r="T37" s="6">
        <v>-75711.967335073947</v>
      </c>
      <c r="U37" s="5"/>
      <c r="V37" s="5"/>
      <c r="W37" s="6">
        <v>36160.329999999994</v>
      </c>
      <c r="X37" s="6">
        <v>-36160.329999999994</v>
      </c>
      <c r="Y37" s="5"/>
      <c r="Z37" s="5"/>
      <c r="AA37" s="6">
        <v>134858.44405425707</v>
      </c>
      <c r="AB37" s="5">
        <v>-4307.0150933999994</v>
      </c>
      <c r="AC37" s="6">
        <v>-134858.44405425707</v>
      </c>
      <c r="AD37" s="5"/>
    </row>
    <row r="38" spans="1:30" x14ac:dyDescent="0.3">
      <c r="A38" s="4" t="s">
        <v>18</v>
      </c>
      <c r="B38" s="4" t="s">
        <v>45</v>
      </c>
      <c r="C38" s="5"/>
      <c r="D38" s="6">
        <v>2709785.45</v>
      </c>
      <c r="E38" s="5">
        <v>-101767</v>
      </c>
      <c r="F38" s="6">
        <v>-2709785.45</v>
      </c>
      <c r="G38" s="5"/>
      <c r="H38" s="5"/>
      <c r="I38" s="6">
        <v>3582065.1303395061</v>
      </c>
      <c r="J38" s="5">
        <v>-46520.36679513946</v>
      </c>
      <c r="K38" s="6">
        <v>-3582065.1303395052</v>
      </c>
      <c r="L38" s="5"/>
      <c r="M38" s="5"/>
      <c r="N38" s="6">
        <v>3314447.6000000006</v>
      </c>
      <c r="O38" s="6">
        <v>-3314447.6000000006</v>
      </c>
      <c r="P38" s="5"/>
      <c r="Q38" s="5"/>
      <c r="R38" s="6">
        <v>3596421.1098853853</v>
      </c>
      <c r="S38" s="5">
        <v>-42338.967304320009</v>
      </c>
      <c r="T38" s="6">
        <v>-3596421.1098853853</v>
      </c>
      <c r="U38" s="5"/>
      <c r="V38" s="5"/>
      <c r="W38" s="6">
        <v>772539.21</v>
      </c>
      <c r="X38" s="6">
        <v>-772539.21</v>
      </c>
      <c r="Y38" s="5"/>
      <c r="Z38" s="5"/>
      <c r="AA38" s="6">
        <v>3890482.3630351597</v>
      </c>
      <c r="AB38" s="5">
        <v>-47444.929924319993</v>
      </c>
      <c r="AC38" s="6">
        <v>-3890482.3630351601</v>
      </c>
      <c r="AD38" s="5"/>
    </row>
    <row r="39" spans="1:30" x14ac:dyDescent="0.3">
      <c r="A39" s="4" t="s">
        <v>18</v>
      </c>
      <c r="B39" s="4" t="s">
        <v>46</v>
      </c>
      <c r="C39" s="5"/>
      <c r="D39" s="6">
        <v>825095.87000000011</v>
      </c>
      <c r="E39" s="5">
        <v>-48534</v>
      </c>
      <c r="F39" s="6">
        <v>-825095.87</v>
      </c>
      <c r="G39" s="5"/>
      <c r="H39" s="5"/>
      <c r="I39" s="6">
        <v>780159.26784294215</v>
      </c>
      <c r="J39" s="5">
        <v>-19266.166159314729</v>
      </c>
      <c r="K39" s="6">
        <v>-780159.26784294227</v>
      </c>
      <c r="L39" s="5"/>
      <c r="M39" s="5"/>
      <c r="N39" s="6">
        <v>898893.60000000009</v>
      </c>
      <c r="O39" s="6">
        <v>-898893.59999999986</v>
      </c>
      <c r="P39" s="5"/>
      <c r="Q39" s="5"/>
      <c r="R39" s="6">
        <v>891444.4524913854</v>
      </c>
      <c r="S39" s="5">
        <v>-23350.00419648</v>
      </c>
      <c r="T39" s="6">
        <v>-891444.45249138528</v>
      </c>
      <c r="U39" s="5"/>
      <c r="V39" s="5"/>
      <c r="W39" s="6">
        <v>251260.74000000002</v>
      </c>
      <c r="X39" s="6">
        <v>-251260.74000000002</v>
      </c>
      <c r="Y39" s="5"/>
      <c r="Z39" s="5"/>
      <c r="AA39" s="6">
        <v>894630.39902101364</v>
      </c>
      <c r="AB39" s="5">
        <v>-28773.234046206002</v>
      </c>
      <c r="AC39" s="6">
        <v>-894630.39902101364</v>
      </c>
      <c r="AD39" s="5"/>
    </row>
    <row r="40" spans="1:30" x14ac:dyDescent="0.3">
      <c r="A40" s="4" t="s">
        <v>18</v>
      </c>
      <c r="B40" s="4" t="s">
        <v>47</v>
      </c>
      <c r="C40" s="5"/>
      <c r="D40" s="6">
        <v>3932.09</v>
      </c>
      <c r="E40" s="5"/>
      <c r="F40" s="6">
        <v>-3932.09</v>
      </c>
      <c r="G40" s="5"/>
      <c r="H40" s="5"/>
      <c r="I40" s="6"/>
      <c r="J40" s="5"/>
      <c r="K40" s="6"/>
      <c r="L40" s="5"/>
      <c r="M40" s="5"/>
      <c r="N40" s="6"/>
      <c r="O40" s="6"/>
      <c r="P40" s="5"/>
      <c r="Q40" s="5"/>
      <c r="R40" s="6"/>
      <c r="S40" s="5"/>
      <c r="T40" s="6"/>
      <c r="U40" s="5"/>
      <c r="V40" s="5"/>
      <c r="W40" s="6"/>
      <c r="X40" s="6"/>
      <c r="Y40" s="5"/>
      <c r="Z40" s="5"/>
      <c r="AA40" s="6"/>
      <c r="AB40" s="5"/>
      <c r="AC40" s="6"/>
      <c r="AD40" s="5"/>
    </row>
    <row r="41" spans="1:30" x14ac:dyDescent="0.3">
      <c r="A41" s="4" t="s">
        <v>18</v>
      </c>
      <c r="B41" s="4" t="s">
        <v>48</v>
      </c>
      <c r="C41" s="5"/>
      <c r="D41" s="6">
        <v>2257052.7600000002</v>
      </c>
      <c r="E41" s="5"/>
      <c r="F41" s="6">
        <v>-2257052.7599999998</v>
      </c>
      <c r="G41" s="5"/>
      <c r="H41" s="5"/>
      <c r="I41" s="6">
        <v>2426470.0000000014</v>
      </c>
      <c r="J41" s="5"/>
      <c r="K41" s="6">
        <v>-2426470.0000000014</v>
      </c>
      <c r="L41" s="5"/>
      <c r="M41" s="5"/>
      <c r="N41" s="6">
        <v>2416076.77</v>
      </c>
      <c r="O41" s="6">
        <v>-2416076.77</v>
      </c>
      <c r="P41" s="5"/>
      <c r="Q41" s="5"/>
      <c r="R41" s="6">
        <v>2594470.0000000014</v>
      </c>
      <c r="S41" s="5"/>
      <c r="T41" s="6">
        <v>-2594470.0000000014</v>
      </c>
      <c r="U41" s="5"/>
      <c r="V41" s="5"/>
      <c r="W41" s="6">
        <v>613726.71</v>
      </c>
      <c r="X41" s="6">
        <v>-613726.71</v>
      </c>
      <c r="Y41" s="5"/>
      <c r="Z41" s="5"/>
      <c r="AA41" s="6">
        <v>2594470.0000000014</v>
      </c>
      <c r="AB41" s="5"/>
      <c r="AC41" s="6">
        <v>-2594470.0000000014</v>
      </c>
      <c r="AD41" s="5"/>
    </row>
    <row r="42" spans="1:30" x14ac:dyDescent="0.3">
      <c r="A42" s="4" t="s">
        <v>18</v>
      </c>
      <c r="B42" s="4" t="s">
        <v>49</v>
      </c>
      <c r="C42" s="5"/>
      <c r="D42" s="6">
        <v>649709.31999999995</v>
      </c>
      <c r="E42" s="5">
        <v>-53961</v>
      </c>
      <c r="F42" s="6">
        <v>-649709.32000000007</v>
      </c>
      <c r="G42" s="5"/>
      <c r="H42" s="5"/>
      <c r="I42" s="6">
        <v>730704.7599346441</v>
      </c>
      <c r="J42" s="5">
        <v>-25498.848506772909</v>
      </c>
      <c r="K42" s="6">
        <v>-730704.7599346441</v>
      </c>
      <c r="L42" s="5"/>
      <c r="M42" s="5"/>
      <c r="N42" s="6">
        <v>756634.75</v>
      </c>
      <c r="O42" s="6">
        <v>-756634.75</v>
      </c>
      <c r="P42" s="5"/>
      <c r="Q42" s="5"/>
      <c r="R42" s="6">
        <v>770747.21025135741</v>
      </c>
      <c r="S42" s="5">
        <v>-26698.361731199999</v>
      </c>
      <c r="T42" s="6">
        <v>-770747.21025135729</v>
      </c>
      <c r="U42" s="5"/>
      <c r="V42" s="5"/>
      <c r="W42" s="6">
        <v>231235.05999999997</v>
      </c>
      <c r="X42" s="6">
        <v>-231235.05999999997</v>
      </c>
      <c r="Y42" s="5"/>
      <c r="Z42" s="5"/>
      <c r="AA42" s="6">
        <v>868457.62762836926</v>
      </c>
      <c r="AB42" s="5">
        <v>-28039.085714376</v>
      </c>
      <c r="AC42" s="6">
        <v>-868457.62762836926</v>
      </c>
      <c r="AD42" s="5"/>
    </row>
    <row r="43" spans="1:30" x14ac:dyDescent="0.3">
      <c r="A43" s="4" t="s">
        <v>18</v>
      </c>
      <c r="B43" s="4" t="s">
        <v>50</v>
      </c>
      <c r="C43" s="5"/>
      <c r="D43" s="6">
        <v>707936.31</v>
      </c>
      <c r="E43" s="5">
        <v>-37554</v>
      </c>
      <c r="F43" s="6">
        <v>-707936.31</v>
      </c>
      <c r="G43" s="5"/>
      <c r="H43" s="5"/>
      <c r="I43" s="6">
        <v>635043.71214537264</v>
      </c>
      <c r="J43" s="5">
        <v>-18182.32736772906</v>
      </c>
      <c r="K43" s="6">
        <v>-635043.71214537264</v>
      </c>
      <c r="L43" s="5"/>
      <c r="M43" s="5"/>
      <c r="N43" s="6">
        <v>902892.74</v>
      </c>
      <c r="O43" s="6">
        <v>-902892.73999999987</v>
      </c>
      <c r="P43" s="5"/>
      <c r="Q43" s="5"/>
      <c r="R43" s="6">
        <v>1075067.0369319525</v>
      </c>
      <c r="S43" s="5">
        <v>-30462.155352000002</v>
      </c>
      <c r="T43" s="6">
        <v>-1075067.0369319525</v>
      </c>
      <c r="U43" s="5"/>
      <c r="V43" s="5"/>
      <c r="W43" s="6">
        <v>217033.48</v>
      </c>
      <c r="X43" s="6">
        <v>-217033.48</v>
      </c>
      <c r="Y43" s="5"/>
      <c r="Z43" s="5"/>
      <c r="AA43" s="6">
        <v>1066490.6565071256</v>
      </c>
      <c r="AB43" s="5">
        <v>-27617.383487879997</v>
      </c>
      <c r="AC43" s="6">
        <v>-1066490.6565071256</v>
      </c>
      <c r="AD43" s="5"/>
    </row>
    <row r="44" spans="1:30" x14ac:dyDescent="0.3">
      <c r="A44" s="4" t="s">
        <v>18</v>
      </c>
      <c r="B44" s="4" t="s">
        <v>51</v>
      </c>
      <c r="C44" s="5"/>
      <c r="D44" s="6"/>
      <c r="E44" s="5"/>
      <c r="F44" s="6"/>
      <c r="G44" s="5"/>
      <c r="H44" s="5"/>
      <c r="I44" s="6"/>
      <c r="J44" s="5"/>
      <c r="K44" s="6"/>
      <c r="L44" s="5"/>
      <c r="M44" s="5"/>
      <c r="N44" s="6"/>
      <c r="O44" s="6"/>
      <c r="P44" s="5"/>
      <c r="Q44" s="5"/>
      <c r="R44" s="6">
        <v>0.50174081538726512</v>
      </c>
      <c r="S44" s="5">
        <v>-1.7999999999989247E-2</v>
      </c>
      <c r="T44" s="6">
        <v>-0.50174081538726956</v>
      </c>
      <c r="U44" s="5"/>
      <c r="V44" s="5"/>
      <c r="W44" s="6"/>
      <c r="X44" s="6"/>
      <c r="Y44" s="5"/>
      <c r="Z44" s="5">
        <v>-4.3200998334214091E-12</v>
      </c>
      <c r="AA44" s="6"/>
      <c r="AB44" s="5"/>
      <c r="AC44" s="6">
        <v>-4.3200998334214091E-12</v>
      </c>
      <c r="AD44" s="5"/>
    </row>
    <row r="45" spans="1:30" x14ac:dyDescent="0.3">
      <c r="A45" s="4" t="s">
        <v>18</v>
      </c>
      <c r="B45" s="4" t="s">
        <v>52</v>
      </c>
      <c r="C45" s="5">
        <v>10802333.99</v>
      </c>
      <c r="D45" s="6">
        <v>2590081.9500000007</v>
      </c>
      <c r="E45" s="5">
        <v>2000000</v>
      </c>
      <c r="F45" s="6">
        <v>8212252.040000001</v>
      </c>
      <c r="G45" s="5"/>
      <c r="H45" s="5">
        <v>6772092.916666666</v>
      </c>
      <c r="I45" s="6">
        <v>1502125.9999999998</v>
      </c>
      <c r="J45" s="5"/>
      <c r="K45" s="6">
        <v>5269966.9166666688</v>
      </c>
      <c r="L45" s="5"/>
      <c r="M45" s="5">
        <v>6028061.459999999</v>
      </c>
      <c r="N45" s="6">
        <v>77528.279999999708</v>
      </c>
      <c r="O45" s="6">
        <v>5950533.1799999997</v>
      </c>
      <c r="P45" s="5">
        <v>466.47</v>
      </c>
      <c r="Q45" s="5">
        <v>6097899.9999999953</v>
      </c>
      <c r="R45" s="6">
        <v>1277910.8599999996</v>
      </c>
      <c r="S45" s="5"/>
      <c r="T45" s="6">
        <v>4819989.1399999969</v>
      </c>
      <c r="U45" s="5"/>
      <c r="V45" s="5">
        <v>1300920.8</v>
      </c>
      <c r="W45" s="6">
        <v>192656.58000000002</v>
      </c>
      <c r="X45" s="6">
        <v>1108264.22</v>
      </c>
      <c r="Y45" s="5"/>
      <c r="Z45" s="5">
        <v>6992409.0000000009</v>
      </c>
      <c r="AA45" s="6">
        <v>1975765.9999999991</v>
      </c>
      <c r="AB45" s="5"/>
      <c r="AC45" s="6">
        <v>5016643.0000000019</v>
      </c>
      <c r="AD45" s="5"/>
    </row>
    <row r="46" spans="1:30" x14ac:dyDescent="0.3">
      <c r="A46" s="4" t="s">
        <v>18</v>
      </c>
      <c r="B46" s="4" t="s">
        <v>53</v>
      </c>
      <c r="C46" s="5"/>
      <c r="D46" s="6">
        <v>-6010997.2199999997</v>
      </c>
      <c r="E46" s="5"/>
      <c r="F46" s="6">
        <v>6010997.2199999997</v>
      </c>
      <c r="G46" s="5">
        <v>-6321148.4299999988</v>
      </c>
      <c r="H46" s="5"/>
      <c r="I46" s="6">
        <v>-6511080.6128400005</v>
      </c>
      <c r="J46" s="5"/>
      <c r="K46" s="6">
        <v>6511080.6128400015</v>
      </c>
      <c r="L46" s="5">
        <v>-6772892.6128400005</v>
      </c>
      <c r="M46" s="5"/>
      <c r="N46" s="6">
        <v>-6069848.4500000002</v>
      </c>
      <c r="O46" s="6">
        <v>6069848.4500000011</v>
      </c>
      <c r="P46" s="5">
        <v>-6364509.6399999987</v>
      </c>
      <c r="Q46" s="5"/>
      <c r="R46" s="6">
        <v>-6558467.6793999998</v>
      </c>
      <c r="S46" s="5"/>
      <c r="T46" s="6">
        <v>6558467.6794000007</v>
      </c>
      <c r="U46" s="5">
        <v>-6805189.6793999989</v>
      </c>
      <c r="V46" s="5"/>
      <c r="W46" s="6">
        <v>-711097.04999999993</v>
      </c>
      <c r="X46" s="6">
        <v>711097.04999999993</v>
      </c>
      <c r="Y46" s="5">
        <v>-771023.83</v>
      </c>
      <c r="Z46" s="5"/>
      <c r="AA46" s="6">
        <v>-6695322.9999999963</v>
      </c>
      <c r="AB46" s="5"/>
      <c r="AC46" s="6">
        <v>6695322.9999999963</v>
      </c>
      <c r="AD46" s="5">
        <v>-7075799.9999999963</v>
      </c>
    </row>
    <row r="47" spans="1:30" x14ac:dyDescent="0.3">
      <c r="A47" s="4" t="s">
        <v>18</v>
      </c>
      <c r="B47" s="4" t="s">
        <v>54</v>
      </c>
      <c r="C47" s="5"/>
      <c r="D47" s="6">
        <v>107656.16</v>
      </c>
      <c r="E47" s="5">
        <v>-43292</v>
      </c>
      <c r="F47" s="6">
        <v>-107656.15999999999</v>
      </c>
      <c r="G47" s="5"/>
      <c r="H47" s="5"/>
      <c r="I47" s="6">
        <v>215094.05089294177</v>
      </c>
      <c r="J47" s="5">
        <v>-14249.130806474099</v>
      </c>
      <c r="K47" s="6">
        <v>-215094.0508929418</v>
      </c>
      <c r="L47" s="5"/>
      <c r="M47" s="5"/>
      <c r="N47" s="6">
        <v>82422.439999999973</v>
      </c>
      <c r="O47" s="6">
        <v>-82422.439999999988</v>
      </c>
      <c r="P47" s="5"/>
      <c r="Q47" s="5"/>
      <c r="R47" s="6">
        <v>122646.25520211068</v>
      </c>
      <c r="S47" s="5">
        <v>-14529.458975759999</v>
      </c>
      <c r="T47" s="6">
        <v>-122646.2552021107</v>
      </c>
      <c r="U47" s="5"/>
      <c r="V47" s="5"/>
      <c r="W47" s="6">
        <v>35197.050000000003</v>
      </c>
      <c r="X47" s="6">
        <v>-35197.050000000003</v>
      </c>
      <c r="Y47" s="5"/>
      <c r="Z47" s="5"/>
      <c r="AA47" s="6">
        <v>207248.74056632986</v>
      </c>
      <c r="AB47" s="5">
        <v>-16592.749362360002</v>
      </c>
      <c r="AC47" s="6">
        <v>-207248.74056632989</v>
      </c>
      <c r="AD47" s="5"/>
    </row>
    <row r="48" spans="1:30" x14ac:dyDescent="0.3">
      <c r="A48" s="4" t="s">
        <v>18</v>
      </c>
      <c r="B48" s="4" t="s">
        <v>55</v>
      </c>
      <c r="C48" s="5">
        <v>2581055.69</v>
      </c>
      <c r="D48" s="6">
        <v>2923696.1199999996</v>
      </c>
      <c r="E48" s="5">
        <v>-108139</v>
      </c>
      <c r="F48" s="6">
        <v>-342640.42999999982</v>
      </c>
      <c r="G48" s="5">
        <v>683979.74999999988</v>
      </c>
      <c r="H48" s="5">
        <v>2593418.52</v>
      </c>
      <c r="I48" s="6">
        <v>3000800.8093794319</v>
      </c>
      <c r="J48" s="5">
        <v>-35307.752112430295</v>
      </c>
      <c r="K48" s="6">
        <v>-407382.28937943175</v>
      </c>
      <c r="L48" s="5">
        <v>687256.12280000001</v>
      </c>
      <c r="M48" s="5">
        <v>2233508.85</v>
      </c>
      <c r="N48" s="6">
        <v>2724203.5500000003</v>
      </c>
      <c r="O48" s="6">
        <v>-490694.7</v>
      </c>
      <c r="P48" s="5">
        <v>591899.11</v>
      </c>
      <c r="Q48" s="5">
        <v>2341012.9999999963</v>
      </c>
      <c r="R48" s="6">
        <v>2694943.5397323277</v>
      </c>
      <c r="S48" s="5">
        <v>-36108.034585920002</v>
      </c>
      <c r="T48" s="6">
        <v>-353930.53973233106</v>
      </c>
      <c r="U48" s="5">
        <v>620368</v>
      </c>
      <c r="V48" s="5">
        <v>457480.51999999996</v>
      </c>
      <c r="W48" s="6">
        <v>633604.39</v>
      </c>
      <c r="X48" s="6">
        <v>-176123.87</v>
      </c>
      <c r="Y48" s="5">
        <v>85398.890000000014</v>
      </c>
      <c r="Z48" s="5">
        <v>2300900.0000000037</v>
      </c>
      <c r="AA48" s="6">
        <v>2814187.9804648487</v>
      </c>
      <c r="AB48" s="5">
        <v>-36510.535129320007</v>
      </c>
      <c r="AC48" s="6">
        <v>-513287.98046484496</v>
      </c>
      <c r="AD48" s="5">
        <v>633482.99999999965</v>
      </c>
    </row>
    <row r="49" spans="1:30" x14ac:dyDescent="0.3">
      <c r="A49" s="4" t="s">
        <v>18</v>
      </c>
      <c r="B49" s="4" t="s">
        <v>56</v>
      </c>
      <c r="C49" s="5">
        <v>4265990.8</v>
      </c>
      <c r="D49" s="6">
        <v>3226223.8699999996</v>
      </c>
      <c r="E49" s="5">
        <v>-162863</v>
      </c>
      <c r="F49" s="6">
        <v>1039766.9300000003</v>
      </c>
      <c r="G49" s="5">
        <v>1130487.56</v>
      </c>
      <c r="H49" s="5">
        <v>4393243</v>
      </c>
      <c r="I49" s="6">
        <v>3617101.2664054455</v>
      </c>
      <c r="J49" s="5">
        <v>-57671.010779521894</v>
      </c>
      <c r="K49" s="6">
        <v>776141.73359455471</v>
      </c>
      <c r="L49" s="5">
        <v>1164209</v>
      </c>
      <c r="M49" s="5">
        <v>3807854.2899999996</v>
      </c>
      <c r="N49" s="6">
        <v>4017916.61</v>
      </c>
      <c r="O49" s="6">
        <v>-210062.3200000003</v>
      </c>
      <c r="P49" s="5">
        <v>1015080.6699999999</v>
      </c>
      <c r="Q49" s="5">
        <v>4547513</v>
      </c>
      <c r="R49" s="6">
        <v>3573149.9860906489</v>
      </c>
      <c r="S49" s="5">
        <v>-53673.651661823998</v>
      </c>
      <c r="T49" s="6">
        <v>974363.01390935131</v>
      </c>
      <c r="U49" s="5">
        <v>1205091</v>
      </c>
      <c r="V49" s="5">
        <v>982486.7699999999</v>
      </c>
      <c r="W49" s="6">
        <v>852156.96000000008</v>
      </c>
      <c r="X49" s="6">
        <v>130329.80999999997</v>
      </c>
      <c r="Y49" s="5">
        <v>167219.93</v>
      </c>
      <c r="Z49" s="5">
        <v>4440713</v>
      </c>
      <c r="AA49" s="6">
        <v>3616858.0649998449</v>
      </c>
      <c r="AB49" s="5">
        <v>-59091.164462340021</v>
      </c>
      <c r="AC49" s="6">
        <v>823854.93500015512</v>
      </c>
      <c r="AD49" s="5">
        <v>1176789</v>
      </c>
    </row>
    <row r="50" spans="1:30" x14ac:dyDescent="0.3">
      <c r="A50" s="4" t="s">
        <v>18</v>
      </c>
      <c r="B50" s="4" t="s">
        <v>57</v>
      </c>
      <c r="C50" s="5">
        <v>931042.66999999993</v>
      </c>
      <c r="D50" s="6">
        <v>931042.66999999993</v>
      </c>
      <c r="E50" s="5">
        <v>-59291</v>
      </c>
      <c r="F50" s="6">
        <v>4.3655745685100555E-11</v>
      </c>
      <c r="G50" s="5">
        <v>246726.31</v>
      </c>
      <c r="H50" s="5">
        <v>778018.00000000012</v>
      </c>
      <c r="I50" s="6">
        <v>779697.89691664791</v>
      </c>
      <c r="J50" s="5">
        <v>-21139.209070278863</v>
      </c>
      <c r="K50" s="6">
        <v>-1679.896916647871</v>
      </c>
      <c r="L50" s="5">
        <v>206174</v>
      </c>
      <c r="M50" s="5">
        <v>872010.28999999992</v>
      </c>
      <c r="N50" s="6">
        <v>872010.29</v>
      </c>
      <c r="O50" s="6">
        <v>4.3655745685100555E-11</v>
      </c>
      <c r="P50" s="5">
        <v>173882.77</v>
      </c>
      <c r="Q50" s="5">
        <v>870948.56000000017</v>
      </c>
      <c r="R50" s="6">
        <v>870948.5681160941</v>
      </c>
      <c r="S50" s="5">
        <v>-23971.78351872</v>
      </c>
      <c r="T50" s="6">
        <v>-8.1160940098925494E-3</v>
      </c>
      <c r="U50" s="5">
        <v>230801.8</v>
      </c>
      <c r="V50" s="5">
        <v>221519.75000000003</v>
      </c>
      <c r="W50" s="6">
        <v>232274.35999999996</v>
      </c>
      <c r="X50" s="6">
        <v>-10754.60999999995</v>
      </c>
      <c r="Y50" s="5">
        <v>34737.43</v>
      </c>
      <c r="Z50" s="5">
        <v>817699.99000000011</v>
      </c>
      <c r="AA50" s="6">
        <v>815115.82757491618</v>
      </c>
      <c r="AB50" s="5">
        <v>-25660.168886519998</v>
      </c>
      <c r="AC50" s="6">
        <v>2584.1624250837631</v>
      </c>
      <c r="AD50" s="5">
        <v>216691</v>
      </c>
    </row>
    <row r="51" spans="1:30" x14ac:dyDescent="0.3">
      <c r="A51" s="4" t="s">
        <v>18</v>
      </c>
      <c r="B51" s="4" t="s">
        <v>58</v>
      </c>
      <c r="C51" s="5">
        <v>1038205.56</v>
      </c>
      <c r="D51" s="6">
        <v>1036837.49</v>
      </c>
      <c r="E51" s="5">
        <v>-25212</v>
      </c>
      <c r="F51" s="6">
        <v>1368.0699999999779</v>
      </c>
      <c r="G51" s="5">
        <v>275124.46999999997</v>
      </c>
      <c r="H51" s="5">
        <v>1101168.0000000007</v>
      </c>
      <c r="I51" s="6">
        <v>1052054.0494167942</v>
      </c>
      <c r="J51" s="5">
        <v>-8986.0191059760946</v>
      </c>
      <c r="K51" s="6">
        <v>49113.950583206271</v>
      </c>
      <c r="L51" s="5">
        <v>291811</v>
      </c>
      <c r="M51" s="5">
        <v>993978.56999999983</v>
      </c>
      <c r="N51" s="6">
        <v>877186.24999999988</v>
      </c>
      <c r="O51" s="6">
        <v>116792.32000000007</v>
      </c>
      <c r="P51" s="5">
        <v>263403.69999999995</v>
      </c>
      <c r="Q51" s="5">
        <v>1103349.9999999993</v>
      </c>
      <c r="R51" s="6">
        <v>999724.48561878758</v>
      </c>
      <c r="S51" s="5">
        <v>-9165.8533651199996</v>
      </c>
      <c r="T51" s="6">
        <v>103625.51438121207</v>
      </c>
      <c r="U51" s="5">
        <v>292388.00000000041</v>
      </c>
      <c r="V51" s="5">
        <v>245535.19</v>
      </c>
      <c r="W51" s="6">
        <v>297900.55000000005</v>
      </c>
      <c r="X51" s="6">
        <v>-52365.360000000015</v>
      </c>
      <c r="Y51" s="5">
        <v>45521.88</v>
      </c>
      <c r="Z51" s="5">
        <v>1103700</v>
      </c>
      <c r="AA51" s="6">
        <v>933915.58774517244</v>
      </c>
      <c r="AB51" s="5">
        <v>-7246.2768926399986</v>
      </c>
      <c r="AC51" s="6">
        <v>169784.41225482739</v>
      </c>
      <c r="AD51" s="5">
        <v>292481.00000000035</v>
      </c>
    </row>
    <row r="52" spans="1:30" x14ac:dyDescent="0.3">
      <c r="A52" s="4" t="s">
        <v>18</v>
      </c>
      <c r="B52" s="4" t="s">
        <v>59</v>
      </c>
      <c r="C52" s="5"/>
      <c r="D52" s="6">
        <v>-4.5474735088646412E-13</v>
      </c>
      <c r="E52" s="5"/>
      <c r="F52" s="6">
        <v>9.0949470177292824E-13</v>
      </c>
      <c r="G52" s="5"/>
      <c r="H52" s="5"/>
      <c r="I52" s="6">
        <v>-2.3980307361107639E-12</v>
      </c>
      <c r="J52" s="5"/>
      <c r="K52" s="6">
        <v>2.3980307361107639E-12</v>
      </c>
      <c r="L52" s="5"/>
      <c r="M52" s="5"/>
      <c r="N52" s="6">
        <v>-5.4699999999997715</v>
      </c>
      <c r="O52" s="6">
        <v>5.4699999999997715</v>
      </c>
      <c r="P52" s="5"/>
      <c r="Q52" s="5"/>
      <c r="R52" s="6"/>
      <c r="S52" s="5"/>
      <c r="T52" s="6"/>
      <c r="U52" s="5"/>
      <c r="V52" s="5"/>
      <c r="W52" s="6"/>
      <c r="X52" s="6"/>
      <c r="Y52" s="5"/>
      <c r="Z52" s="5"/>
      <c r="AA52" s="6"/>
      <c r="AB52" s="5"/>
      <c r="AC52" s="6"/>
      <c r="AD52" s="5"/>
    </row>
    <row r="53" spans="1:30" x14ac:dyDescent="0.3">
      <c r="A53" s="4" t="s">
        <v>18</v>
      </c>
      <c r="B53" s="4" t="s">
        <v>60</v>
      </c>
      <c r="C53" s="5">
        <v>513558.54000000004</v>
      </c>
      <c r="D53" s="6">
        <v>409304.28999999992</v>
      </c>
      <c r="E53" s="5">
        <v>-11702</v>
      </c>
      <c r="F53" s="6">
        <v>104254.25000000001</v>
      </c>
      <c r="G53" s="5">
        <v>136093.01</v>
      </c>
      <c r="H53" s="5">
        <v>478089</v>
      </c>
      <c r="I53" s="6">
        <v>497293.62086039427</v>
      </c>
      <c r="J53" s="5">
        <v>-4175.1358996015952</v>
      </c>
      <c r="K53" s="6">
        <v>-19204.620860394309</v>
      </c>
      <c r="L53" s="5">
        <v>126693</v>
      </c>
      <c r="M53" s="5">
        <v>403075.94999999995</v>
      </c>
      <c r="N53" s="6">
        <v>386986.05</v>
      </c>
      <c r="O53" s="6">
        <v>16089.899999999987</v>
      </c>
      <c r="P53" s="5">
        <v>106815.14</v>
      </c>
      <c r="Q53" s="5">
        <v>477510.00000000006</v>
      </c>
      <c r="R53" s="6">
        <v>443447.28806835099</v>
      </c>
      <c r="S53" s="5">
        <v>-4258.5306191999998</v>
      </c>
      <c r="T53" s="6">
        <v>34062.711931648926</v>
      </c>
      <c r="U53" s="5">
        <v>126539.99999999999</v>
      </c>
      <c r="V53" s="5">
        <v>72758.169999999984</v>
      </c>
      <c r="W53" s="6">
        <v>93774.87000000001</v>
      </c>
      <c r="X53" s="6">
        <v>-21016.700000000004</v>
      </c>
      <c r="Y53" s="5">
        <v>14813.95</v>
      </c>
      <c r="Z53" s="5">
        <v>482997</v>
      </c>
      <c r="AA53" s="6">
        <v>452943.18530670693</v>
      </c>
      <c r="AB53" s="5">
        <v>-4668.3931679999996</v>
      </c>
      <c r="AC53" s="6">
        <v>30053.814693293123</v>
      </c>
      <c r="AD53" s="5">
        <v>127994</v>
      </c>
    </row>
    <row r="54" spans="1:30" x14ac:dyDescent="0.3">
      <c r="A54" s="4" t="s">
        <v>61</v>
      </c>
      <c r="B54" s="4" t="s">
        <v>43</v>
      </c>
      <c r="C54" s="5">
        <v>3773730.67</v>
      </c>
      <c r="D54" s="6">
        <v>2946625.5300000003</v>
      </c>
      <c r="E54" s="5">
        <v>-73725</v>
      </c>
      <c r="F54" s="6">
        <v>827105.14</v>
      </c>
      <c r="G54" s="5">
        <v>755579.07000000018</v>
      </c>
      <c r="H54" s="5">
        <v>3915999.9999999995</v>
      </c>
      <c r="I54" s="6">
        <v>3064251.9722084017</v>
      </c>
      <c r="J54" s="5"/>
      <c r="K54" s="6">
        <v>851748.02779159811</v>
      </c>
      <c r="L54" s="5">
        <v>788269</v>
      </c>
      <c r="M54" s="5">
        <v>853639.72</v>
      </c>
      <c r="N54" s="6">
        <v>960754.2100000002</v>
      </c>
      <c r="O54" s="6">
        <v>-107114.49000000002</v>
      </c>
      <c r="P54" s="5">
        <v>30449.200000000001</v>
      </c>
      <c r="Q54" s="5">
        <v>797747.99999999953</v>
      </c>
      <c r="R54" s="6">
        <v>1213223.5766087847</v>
      </c>
      <c r="S54" s="5"/>
      <c r="T54" s="6">
        <v>-415475.57660878496</v>
      </c>
      <c r="U54" s="5">
        <v>33280.000000000007</v>
      </c>
      <c r="V54" s="5">
        <v>211206.59</v>
      </c>
      <c r="W54" s="6">
        <v>416372.82</v>
      </c>
      <c r="X54" s="6">
        <v>-205166.22999999998</v>
      </c>
      <c r="Y54" s="5">
        <v>2200.7199999999998</v>
      </c>
      <c r="Z54" s="5">
        <v>3935937.0000000056</v>
      </c>
      <c r="AA54" s="6">
        <v>3323164.5622330466</v>
      </c>
      <c r="AB54" s="5"/>
      <c r="AC54" s="6">
        <v>612772.43776695919</v>
      </c>
      <c r="AD54" s="5">
        <v>780101.50000000023</v>
      </c>
    </row>
    <row r="55" spans="1:30" x14ac:dyDescent="0.3">
      <c r="A55" s="4" t="s">
        <v>61</v>
      </c>
      <c r="B55" s="4" t="s">
        <v>62</v>
      </c>
      <c r="C55" s="5">
        <v>2086386.6400000004</v>
      </c>
      <c r="D55" s="6">
        <v>2235576.3899999997</v>
      </c>
      <c r="E55" s="5">
        <v>-133958</v>
      </c>
      <c r="F55" s="6">
        <v>-149189.74999999959</v>
      </c>
      <c r="G55" s="5">
        <v>197394.84000000003</v>
      </c>
      <c r="H55" s="5">
        <v>2211554.9999999995</v>
      </c>
      <c r="I55" s="6">
        <v>2941392.2727678097</v>
      </c>
      <c r="J55" s="5"/>
      <c r="K55" s="6">
        <v>-729837.27276780992</v>
      </c>
      <c r="L55" s="5">
        <v>233492.00000000009</v>
      </c>
      <c r="M55" s="5">
        <v>4094241.17</v>
      </c>
      <c r="N55" s="6">
        <v>3685105.5400000005</v>
      </c>
      <c r="O55" s="6">
        <v>409135.62999999966</v>
      </c>
      <c r="P55" s="5">
        <v>564606.96</v>
      </c>
      <c r="Q55" s="5">
        <v>4348923</v>
      </c>
      <c r="R55" s="6">
        <v>4253403.1774625825</v>
      </c>
      <c r="S55" s="5"/>
      <c r="T55" s="6">
        <v>95519.822537417349</v>
      </c>
      <c r="U55" s="5">
        <v>656518</v>
      </c>
      <c r="V55" s="5">
        <v>482057</v>
      </c>
      <c r="W55" s="6">
        <v>495945.41</v>
      </c>
      <c r="X55" s="6">
        <v>-13888.40999999996</v>
      </c>
      <c r="Y55" s="5">
        <v>14605.380000000001</v>
      </c>
      <c r="Z55" s="5">
        <v>2281788.9999999995</v>
      </c>
      <c r="AA55" s="6">
        <v>2788124.4227692047</v>
      </c>
      <c r="AB55" s="5"/>
      <c r="AC55" s="6">
        <v>-506335.42276920413</v>
      </c>
      <c r="AD55" s="5">
        <v>247699.00000000012</v>
      </c>
    </row>
    <row r="56" spans="1:30" x14ac:dyDescent="0.3">
      <c r="A56" s="4" t="s">
        <v>61</v>
      </c>
      <c r="B56" s="4" t="s">
        <v>63</v>
      </c>
      <c r="C56" s="5">
        <v>2314050.2599999998</v>
      </c>
      <c r="D56" s="6">
        <v>2159568.59</v>
      </c>
      <c r="E56" s="5">
        <v>-153049</v>
      </c>
      <c r="F56" s="6">
        <v>154481.6700000001</v>
      </c>
      <c r="G56" s="5">
        <v>306611.64</v>
      </c>
      <c r="H56" s="5">
        <v>2246443.9999999991</v>
      </c>
      <c r="I56" s="6">
        <v>2456389.0693334513</v>
      </c>
      <c r="J56" s="5"/>
      <c r="K56" s="6">
        <v>-209945.06933345203</v>
      </c>
      <c r="L56" s="5">
        <v>297654.99999999983</v>
      </c>
      <c r="M56" s="5">
        <v>2175758.2799999998</v>
      </c>
      <c r="N56" s="6">
        <v>2259407.4399999995</v>
      </c>
      <c r="O56" s="6">
        <v>-83649.159999999887</v>
      </c>
      <c r="P56" s="5">
        <v>204311.03</v>
      </c>
      <c r="Q56" s="5">
        <v>2251395</v>
      </c>
      <c r="R56" s="6">
        <v>2281625.3517120755</v>
      </c>
      <c r="S56" s="5"/>
      <c r="T56" s="6">
        <v>-30230.351712075149</v>
      </c>
      <c r="U56" s="5">
        <v>298312.00000000006</v>
      </c>
      <c r="V56" s="5">
        <v>500179.03</v>
      </c>
      <c r="W56" s="6">
        <v>599670.99</v>
      </c>
      <c r="X56" s="6">
        <v>-99491.959999999905</v>
      </c>
      <c r="Y56" s="5">
        <v>38972.649999999994</v>
      </c>
      <c r="Z56" s="5">
        <v>2356295.0000000014</v>
      </c>
      <c r="AA56" s="6">
        <v>2329930.0100691859</v>
      </c>
      <c r="AB56" s="5"/>
      <c r="AC56" s="6">
        <v>26364.989930815354</v>
      </c>
      <c r="AD56" s="5">
        <v>311944</v>
      </c>
    </row>
    <row r="57" spans="1:30" x14ac:dyDescent="0.3">
      <c r="A57" s="4" t="s">
        <v>61</v>
      </c>
      <c r="B57" s="4" t="s">
        <v>64</v>
      </c>
      <c r="C57" s="5">
        <v>1285617.9599999995</v>
      </c>
      <c r="D57" s="6">
        <v>1250819.18</v>
      </c>
      <c r="E57" s="5">
        <v>-49925</v>
      </c>
      <c r="F57" s="6">
        <v>34798.779999999962</v>
      </c>
      <c r="G57" s="5">
        <v>214430.38</v>
      </c>
      <c r="H57" s="5">
        <v>1561029.9999999991</v>
      </c>
      <c r="I57" s="6">
        <v>1484611.9575473082</v>
      </c>
      <c r="J57" s="5"/>
      <c r="K57" s="6">
        <v>76418.042452691356</v>
      </c>
      <c r="L57" s="5">
        <v>262422</v>
      </c>
      <c r="M57" s="5">
        <v>503287.18</v>
      </c>
      <c r="N57" s="6">
        <v>604052.87</v>
      </c>
      <c r="O57" s="6">
        <v>-100765.68999999994</v>
      </c>
      <c r="P57" s="5">
        <v>5337.5800000000008</v>
      </c>
      <c r="Q57" s="5">
        <v>669877.99999999953</v>
      </c>
      <c r="R57" s="6">
        <v>598764.29343360465</v>
      </c>
      <c r="S57" s="5"/>
      <c r="T57" s="6">
        <v>71113.706566394772</v>
      </c>
      <c r="U57" s="5">
        <v>1235</v>
      </c>
      <c r="V57" s="5">
        <v>1132904.7000000002</v>
      </c>
      <c r="W57" s="6">
        <v>956891.90999999992</v>
      </c>
      <c r="X57" s="6">
        <v>176012.79000000015</v>
      </c>
      <c r="Y57" s="5">
        <v>286317.37</v>
      </c>
      <c r="Z57" s="5">
        <v>1729411</v>
      </c>
      <c r="AA57" s="6">
        <v>1657240.5892526871</v>
      </c>
      <c r="AB57" s="5"/>
      <c r="AC57" s="6">
        <v>72170.410747313232</v>
      </c>
      <c r="AD57" s="5">
        <v>301145</v>
      </c>
    </row>
    <row r="58" spans="1:30" x14ac:dyDescent="0.3">
      <c r="A58" s="4" t="s">
        <v>61</v>
      </c>
      <c r="B58" s="4" t="s">
        <v>65</v>
      </c>
      <c r="C58" s="5"/>
      <c r="D58" s="6">
        <v>-9.0949470177292824E-13</v>
      </c>
      <c r="E58" s="5"/>
      <c r="F58" s="6"/>
      <c r="G58" s="5"/>
      <c r="H58" s="5"/>
      <c r="I58" s="6"/>
      <c r="J58" s="5"/>
      <c r="K58" s="6"/>
      <c r="L58" s="5"/>
      <c r="M58" s="5"/>
      <c r="N58" s="6">
        <v>1.7053025658242404E-13</v>
      </c>
      <c r="O58" s="6"/>
      <c r="P58" s="5"/>
      <c r="Q58" s="5"/>
      <c r="R58" s="6"/>
      <c r="S58" s="5"/>
      <c r="T58" s="6"/>
      <c r="U58" s="5"/>
      <c r="V58" s="5"/>
      <c r="W58" s="6"/>
      <c r="X58" s="6"/>
      <c r="Y58" s="5"/>
      <c r="Z58" s="5"/>
      <c r="AA58" s="6"/>
      <c r="AB58" s="5"/>
      <c r="AC58" s="6"/>
      <c r="AD58" s="5"/>
    </row>
    <row r="59" spans="1:30" x14ac:dyDescent="0.3">
      <c r="A59" s="4" t="s">
        <v>61</v>
      </c>
      <c r="B59" s="4" t="s">
        <v>66</v>
      </c>
      <c r="C59" s="5">
        <v>302335.21000000002</v>
      </c>
      <c r="D59" s="6">
        <v>267480.79000000004</v>
      </c>
      <c r="E59" s="5">
        <v>-27046.400000000001</v>
      </c>
      <c r="F59" s="6">
        <v>34854.419999999984</v>
      </c>
      <c r="G59" s="5">
        <v>15884.489999999998</v>
      </c>
      <c r="H59" s="5">
        <v>314250</v>
      </c>
      <c r="I59" s="6">
        <v>309016.06060931116</v>
      </c>
      <c r="J59" s="5"/>
      <c r="K59" s="6">
        <v>5233.9393906888872</v>
      </c>
      <c r="L59" s="5">
        <v>14009.99999999996</v>
      </c>
      <c r="M59" s="5">
        <v>273730.01000000007</v>
      </c>
      <c r="N59" s="6">
        <v>240182.75999999998</v>
      </c>
      <c r="O59" s="6">
        <v>33547.25</v>
      </c>
      <c r="P59" s="5">
        <v>12323.45</v>
      </c>
      <c r="Q59" s="5">
        <v>310650</v>
      </c>
      <c r="R59" s="6">
        <v>289577.37501611881</v>
      </c>
      <c r="S59" s="5"/>
      <c r="T59" s="6">
        <v>21072.624983881189</v>
      </c>
      <c r="U59" s="5">
        <v>13999.999999999962</v>
      </c>
      <c r="V59" s="5">
        <v>83848.23</v>
      </c>
      <c r="W59" s="6">
        <v>65561.149999999994</v>
      </c>
      <c r="X59" s="6">
        <v>18287.079999999994</v>
      </c>
      <c r="Y59" s="5">
        <v>1622.93</v>
      </c>
      <c r="Z59" s="5">
        <v>315315</v>
      </c>
      <c r="AA59" s="6">
        <v>289073.74162759399</v>
      </c>
      <c r="AB59" s="5"/>
      <c r="AC59" s="6">
        <v>26241.258372406002</v>
      </c>
      <c r="AD59" s="5">
        <v>14000.000000000038</v>
      </c>
    </row>
    <row r="60" spans="1:30" x14ac:dyDescent="0.3">
      <c r="A60" s="4" t="s">
        <v>61</v>
      </c>
      <c r="B60" s="4" t="s">
        <v>67</v>
      </c>
      <c r="C60" s="5">
        <v>391845.7</v>
      </c>
      <c r="D60" s="6">
        <v>300552.34999999998</v>
      </c>
      <c r="E60" s="5">
        <v>-27093</v>
      </c>
      <c r="F60" s="6">
        <v>91293.35</v>
      </c>
      <c r="G60" s="5">
        <v>23595.249999999996</v>
      </c>
      <c r="H60" s="5">
        <v>383099.99999999988</v>
      </c>
      <c r="I60" s="6">
        <v>374431.67667557043</v>
      </c>
      <c r="J60" s="5"/>
      <c r="K60" s="6">
        <v>8668.3233244295843</v>
      </c>
      <c r="L60" s="5">
        <v>21999.99999999996</v>
      </c>
      <c r="M60" s="5">
        <v>404715.39999999997</v>
      </c>
      <c r="N60" s="6">
        <v>330669.89</v>
      </c>
      <c r="O60" s="6">
        <v>74045.510000000009</v>
      </c>
      <c r="P60" s="5">
        <v>19143.27</v>
      </c>
      <c r="Q60" s="5">
        <v>452600</v>
      </c>
      <c r="R60" s="6">
        <v>381704.14280180208</v>
      </c>
      <c r="S60" s="5"/>
      <c r="T60" s="6">
        <v>70895.857198197991</v>
      </c>
      <c r="U60" s="5">
        <v>22458.99999999996</v>
      </c>
      <c r="V60" s="5">
        <v>43745.599999999999</v>
      </c>
      <c r="W60" s="6">
        <v>100452.17</v>
      </c>
      <c r="X60" s="6">
        <v>-56706.569999999992</v>
      </c>
      <c r="Y60" s="5">
        <v>840.38</v>
      </c>
      <c r="Z60" s="5">
        <v>467100</v>
      </c>
      <c r="AA60" s="6">
        <v>359399.80686677538</v>
      </c>
      <c r="AB60" s="5"/>
      <c r="AC60" s="6">
        <v>107700.19313322457</v>
      </c>
      <c r="AD60" s="5">
        <v>27879.999999999953</v>
      </c>
    </row>
    <row r="61" spans="1:30" x14ac:dyDescent="0.3">
      <c r="A61" s="4" t="s">
        <v>61</v>
      </c>
      <c r="B61" s="4" t="s">
        <v>68</v>
      </c>
      <c r="C61" s="5">
        <v>2325914.6399999997</v>
      </c>
      <c r="D61" s="6">
        <v>1419222.19</v>
      </c>
      <c r="E61" s="5">
        <v>-71457</v>
      </c>
      <c r="F61" s="6">
        <v>906692.44999999984</v>
      </c>
      <c r="G61" s="5">
        <v>272829.97000000003</v>
      </c>
      <c r="H61" s="5">
        <v>1434843.88</v>
      </c>
      <c r="I61" s="6">
        <v>1262420.399966009</v>
      </c>
      <c r="J61" s="5"/>
      <c r="K61" s="6">
        <v>172423.48003399075</v>
      </c>
      <c r="L61" s="5">
        <v>154794.99</v>
      </c>
      <c r="M61" s="5">
        <v>1623125.4499999997</v>
      </c>
      <c r="N61" s="6">
        <v>1088001.53</v>
      </c>
      <c r="O61" s="6">
        <v>535123.92000000004</v>
      </c>
      <c r="P61" s="5">
        <v>197434.76</v>
      </c>
      <c r="Q61" s="5">
        <v>1584515.9999999995</v>
      </c>
      <c r="R61" s="6">
        <v>1234577.0279362663</v>
      </c>
      <c r="S61" s="5"/>
      <c r="T61" s="6">
        <v>349938.97206373338</v>
      </c>
      <c r="U61" s="5">
        <v>191975.88</v>
      </c>
      <c r="V61" s="5">
        <v>157750.09999999998</v>
      </c>
      <c r="W61" s="6">
        <v>198536.44999999998</v>
      </c>
      <c r="X61" s="6">
        <v>-40786.349999999991</v>
      </c>
      <c r="Y61" s="5">
        <v>12540.890000000001</v>
      </c>
      <c r="Z61" s="5">
        <v>1718389.4166666663</v>
      </c>
      <c r="AA61" s="6">
        <v>1629755.183870967</v>
      </c>
      <c r="AB61" s="5"/>
      <c r="AC61" s="6">
        <v>88634.232795699674</v>
      </c>
      <c r="AD61" s="5">
        <v>192974</v>
      </c>
    </row>
    <row r="62" spans="1:30" x14ac:dyDescent="0.3">
      <c r="A62" s="4" t="s">
        <v>61</v>
      </c>
      <c r="B62" s="4" t="s">
        <v>69</v>
      </c>
      <c r="C62" s="5">
        <v>439107.87</v>
      </c>
      <c r="D62" s="6">
        <v>529432.31999999995</v>
      </c>
      <c r="E62" s="5">
        <v>-34377</v>
      </c>
      <c r="F62" s="6">
        <v>-90324.449999999983</v>
      </c>
      <c r="G62" s="5">
        <v>32022.97</v>
      </c>
      <c r="H62" s="5">
        <v>581926.99999999953</v>
      </c>
      <c r="I62" s="6">
        <v>582741.06513504742</v>
      </c>
      <c r="J62" s="5"/>
      <c r="K62" s="6">
        <v>-814.06513504776376</v>
      </c>
      <c r="L62" s="5">
        <v>35052.999999999949</v>
      </c>
      <c r="M62" s="5">
        <v>1174341.5800000003</v>
      </c>
      <c r="N62" s="6">
        <v>1357997.56</v>
      </c>
      <c r="O62" s="6">
        <v>-183655.97999999986</v>
      </c>
      <c r="P62" s="5">
        <v>37808.589999999997</v>
      </c>
      <c r="Q62" s="5">
        <v>581926.99999999965</v>
      </c>
      <c r="R62" s="6">
        <v>411547.89360863756</v>
      </c>
      <c r="S62" s="5"/>
      <c r="T62" s="6">
        <v>170379.10639136209</v>
      </c>
      <c r="U62" s="5">
        <v>35052.999999999956</v>
      </c>
      <c r="V62" s="5">
        <v>139469.21</v>
      </c>
      <c r="W62" s="6">
        <v>160431.81</v>
      </c>
      <c r="X62" s="6">
        <v>-20962.600000000017</v>
      </c>
      <c r="Y62" s="5">
        <v>202.96</v>
      </c>
      <c r="Z62" s="5">
        <v>464499.99999999994</v>
      </c>
      <c r="AA62" s="6">
        <v>429873.52716310526</v>
      </c>
      <c r="AB62" s="5"/>
      <c r="AC62" s="6">
        <v>34626.472836894813</v>
      </c>
      <c r="AD62" s="5">
        <v>40230</v>
      </c>
    </row>
    <row r="63" spans="1:30" x14ac:dyDescent="0.3">
      <c r="A63" s="4" t="s">
        <v>61</v>
      </c>
      <c r="B63" s="4" t="s">
        <v>70</v>
      </c>
      <c r="C63" s="5">
        <v>589382.52</v>
      </c>
      <c r="D63" s="6">
        <v>633637.83000000007</v>
      </c>
      <c r="E63" s="5">
        <v>-65166.8</v>
      </c>
      <c r="F63" s="6">
        <v>-44255.310000000041</v>
      </c>
      <c r="G63" s="5">
        <v>38394.890000000007</v>
      </c>
      <c r="H63" s="5">
        <v>909800.00000000023</v>
      </c>
      <c r="I63" s="6">
        <v>922969.0937890776</v>
      </c>
      <c r="J63" s="5"/>
      <c r="K63" s="6">
        <v>-13169.093789077262</v>
      </c>
      <c r="L63" s="5">
        <v>75857</v>
      </c>
      <c r="M63" s="5">
        <v>783921.54999999981</v>
      </c>
      <c r="N63" s="6">
        <v>777268.12</v>
      </c>
      <c r="O63" s="6">
        <v>6653.43</v>
      </c>
      <c r="P63" s="5">
        <v>69916.779999999984</v>
      </c>
      <c r="Q63" s="5">
        <v>977800.00000000035</v>
      </c>
      <c r="R63" s="6">
        <v>951631.81311878294</v>
      </c>
      <c r="S63" s="5"/>
      <c r="T63" s="6">
        <v>26168.186881216978</v>
      </c>
      <c r="U63" s="5">
        <v>93214</v>
      </c>
      <c r="V63" s="5">
        <v>305397.38999999996</v>
      </c>
      <c r="W63" s="6">
        <v>308183.21000000008</v>
      </c>
      <c r="X63" s="6">
        <v>-2785.8200000000033</v>
      </c>
      <c r="Y63" s="5">
        <v>33505.11</v>
      </c>
      <c r="Z63" s="5">
        <v>883097.99999999977</v>
      </c>
      <c r="AA63" s="6">
        <v>861474.2291656778</v>
      </c>
      <c r="AB63" s="5"/>
      <c r="AC63" s="6">
        <v>21623.77083432192</v>
      </c>
      <c r="AD63" s="5">
        <v>74266.999999999971</v>
      </c>
    </row>
    <row r="64" spans="1:30" x14ac:dyDescent="0.3">
      <c r="A64" s="4" t="s">
        <v>71</v>
      </c>
      <c r="B64" s="4" t="s">
        <v>72</v>
      </c>
      <c r="C64" s="5">
        <v>10125.970000000001</v>
      </c>
      <c r="D64" s="6">
        <v>12650.679999999998</v>
      </c>
      <c r="E64" s="5"/>
      <c r="F64" s="6">
        <v>-2524.71</v>
      </c>
      <c r="G64" s="5">
        <v>840.52</v>
      </c>
      <c r="H64" s="5">
        <v>8700</v>
      </c>
      <c r="I64" s="6">
        <v>6640</v>
      </c>
      <c r="J64" s="5"/>
      <c r="K64" s="6">
        <v>2060.0000000000005</v>
      </c>
      <c r="L64" s="5">
        <v>750</v>
      </c>
      <c r="M64" s="5">
        <v>10593.21</v>
      </c>
      <c r="N64" s="6">
        <v>3366.15</v>
      </c>
      <c r="O64" s="6">
        <v>7227.0599999999995</v>
      </c>
      <c r="P64" s="5">
        <v>880.11999999999989</v>
      </c>
      <c r="Q64" s="5">
        <v>8000.0000000000027</v>
      </c>
      <c r="R64" s="6">
        <v>2937</v>
      </c>
      <c r="S64" s="5"/>
      <c r="T64" s="6">
        <v>5063.0000000000027</v>
      </c>
      <c r="U64" s="5">
        <v>750</v>
      </c>
      <c r="V64" s="5">
        <v>2610.84</v>
      </c>
      <c r="W64" s="6">
        <v>192.75</v>
      </c>
      <c r="X64" s="6">
        <v>2418.09</v>
      </c>
      <c r="Y64" s="5">
        <v>152.57</v>
      </c>
      <c r="Z64" s="5">
        <v>8000.0000000000027</v>
      </c>
      <c r="AA64" s="6">
        <v>7052.0000000000045</v>
      </c>
      <c r="AB64" s="5"/>
      <c r="AC64" s="6">
        <v>947.99999999999727</v>
      </c>
      <c r="AD64" s="5">
        <v>750</v>
      </c>
    </row>
    <row r="65" spans="1:30" x14ac:dyDescent="0.3">
      <c r="A65" s="4" t="s">
        <v>71</v>
      </c>
      <c r="B65" s="4" t="s">
        <v>73</v>
      </c>
      <c r="C65" s="5">
        <v>891.36</v>
      </c>
      <c r="D65" s="6">
        <v>89.38</v>
      </c>
      <c r="E65" s="5"/>
      <c r="F65" s="6">
        <v>801.9799999999999</v>
      </c>
      <c r="G65" s="5">
        <v>89.14</v>
      </c>
      <c r="H65" s="5"/>
      <c r="I65" s="6"/>
      <c r="J65" s="5"/>
      <c r="K65" s="6"/>
      <c r="L65" s="5"/>
      <c r="M65" s="5"/>
      <c r="N65" s="6"/>
      <c r="O65" s="6"/>
      <c r="P65" s="5"/>
      <c r="Q65" s="5"/>
      <c r="R65" s="6"/>
      <c r="S65" s="5"/>
      <c r="T65" s="6"/>
      <c r="U65" s="5"/>
      <c r="V65" s="5"/>
      <c r="W65" s="6"/>
      <c r="X65" s="6"/>
      <c r="Y65" s="5"/>
      <c r="Z65" s="5"/>
      <c r="AA65" s="6"/>
      <c r="AB65" s="5"/>
      <c r="AC65" s="6"/>
      <c r="AD65" s="5"/>
    </row>
    <row r="66" spans="1:30" x14ac:dyDescent="0.3">
      <c r="A66" s="4" t="s">
        <v>71</v>
      </c>
      <c r="B66" s="4" t="s">
        <v>74</v>
      </c>
      <c r="C66" s="5">
        <v>13126.740000000002</v>
      </c>
      <c r="D66" s="6">
        <v>30121.449999999997</v>
      </c>
      <c r="E66" s="5"/>
      <c r="F66" s="6">
        <v>-16994.71</v>
      </c>
      <c r="G66" s="5">
        <v>1030.25</v>
      </c>
      <c r="H66" s="5">
        <v>11916</v>
      </c>
      <c r="I66" s="6">
        <v>11874.999999999998</v>
      </c>
      <c r="J66" s="5"/>
      <c r="K66" s="6">
        <v>41.000000000003183</v>
      </c>
      <c r="L66" s="5">
        <v>1100.0000000000005</v>
      </c>
      <c r="M66" s="5">
        <v>13500.319999999998</v>
      </c>
      <c r="N66" s="6">
        <v>16492.180000000004</v>
      </c>
      <c r="O66" s="6">
        <v>-2991.8600000000006</v>
      </c>
      <c r="P66" s="5">
        <v>1025.76</v>
      </c>
      <c r="Q66" s="5">
        <v>10500</v>
      </c>
      <c r="R66" s="6">
        <v>3864.9999999999982</v>
      </c>
      <c r="S66" s="5"/>
      <c r="T66" s="6">
        <v>6634.9999999999973</v>
      </c>
      <c r="U66" s="5">
        <v>1100.0000000000005</v>
      </c>
      <c r="V66" s="5">
        <v>3042.93</v>
      </c>
      <c r="W66" s="6">
        <v>6514.83</v>
      </c>
      <c r="X66" s="6">
        <v>-3471.9000000000005</v>
      </c>
      <c r="Y66" s="5">
        <v>170.09</v>
      </c>
      <c r="Z66" s="5">
        <v>10500</v>
      </c>
      <c r="AA66" s="6">
        <v>7665</v>
      </c>
      <c r="AB66" s="5"/>
      <c r="AC66" s="6">
        <v>2835</v>
      </c>
      <c r="AD66" s="5">
        <v>1050</v>
      </c>
    </row>
    <row r="67" spans="1:30" x14ac:dyDescent="0.3">
      <c r="A67" s="4" t="s">
        <v>71</v>
      </c>
      <c r="B67" s="4" t="s">
        <v>75</v>
      </c>
      <c r="C67" s="5">
        <v>17015.41</v>
      </c>
      <c r="D67" s="6">
        <v>15355.910000000002</v>
      </c>
      <c r="E67" s="5"/>
      <c r="F67" s="6">
        <v>1659.4999999999984</v>
      </c>
      <c r="G67" s="5">
        <v>1625.4899999999998</v>
      </c>
      <c r="H67" s="5">
        <v>13099.999999999995</v>
      </c>
      <c r="I67" s="6">
        <v>13100.000000000007</v>
      </c>
      <c r="J67" s="5"/>
      <c r="K67" s="6">
        <v>-8.1854523159563541E-12</v>
      </c>
      <c r="L67" s="5">
        <v>1500</v>
      </c>
      <c r="M67" s="5">
        <v>21447.920000000002</v>
      </c>
      <c r="N67" s="6">
        <v>8831.35</v>
      </c>
      <c r="O67" s="6">
        <v>12616.569999999998</v>
      </c>
      <c r="P67" s="5">
        <v>2020.8400000000001</v>
      </c>
      <c r="Q67" s="5">
        <v>15100.000000000035</v>
      </c>
      <c r="R67" s="6">
        <v>13088.000000000005</v>
      </c>
      <c r="S67" s="5"/>
      <c r="T67" s="6">
        <v>2012.0000000000332</v>
      </c>
      <c r="U67" s="5">
        <v>1500</v>
      </c>
      <c r="V67" s="5">
        <v>5661.8099999999995</v>
      </c>
      <c r="W67" s="6">
        <v>726.57</v>
      </c>
      <c r="X67" s="6">
        <v>4935.24</v>
      </c>
      <c r="Y67" s="5">
        <v>354.05</v>
      </c>
      <c r="Z67" s="5">
        <v>18199.999999999964</v>
      </c>
      <c r="AA67" s="6">
        <v>17487.000000000004</v>
      </c>
      <c r="AB67" s="5"/>
      <c r="AC67" s="6">
        <v>712.99999999995316</v>
      </c>
      <c r="AD67" s="5">
        <v>1700.0000000000039</v>
      </c>
    </row>
    <row r="68" spans="1:30" x14ac:dyDescent="0.3">
      <c r="A68" s="4" t="s">
        <v>71</v>
      </c>
      <c r="B68" s="4" t="s">
        <v>76</v>
      </c>
      <c r="C68" s="5">
        <v>11493.21</v>
      </c>
      <c r="D68" s="6">
        <v>3084.16</v>
      </c>
      <c r="E68" s="5"/>
      <c r="F68" s="6">
        <v>8409.0500000000011</v>
      </c>
      <c r="G68" s="5">
        <v>797.05000000000007</v>
      </c>
      <c r="H68" s="5">
        <v>11000.000000000005</v>
      </c>
      <c r="I68" s="6">
        <v>9574.9999999999982</v>
      </c>
      <c r="J68" s="5"/>
      <c r="K68" s="6">
        <v>1425.0000000000055</v>
      </c>
      <c r="L68" s="5">
        <v>950.00000000000034</v>
      </c>
      <c r="M68" s="5">
        <v>12027.4</v>
      </c>
      <c r="N68" s="6">
        <v>1365.2600000000002</v>
      </c>
      <c r="O68" s="6">
        <v>10662.14</v>
      </c>
      <c r="P68" s="5">
        <v>777.15000000000009</v>
      </c>
      <c r="Q68" s="5">
        <v>8500.0000000000036</v>
      </c>
      <c r="R68" s="6">
        <v>7409</v>
      </c>
      <c r="S68" s="5"/>
      <c r="T68" s="6">
        <v>1091.0000000000036</v>
      </c>
      <c r="U68" s="5">
        <v>800.00000000000045</v>
      </c>
      <c r="V68" s="5">
        <v>2272.1900000000005</v>
      </c>
      <c r="W68" s="6">
        <v>2604.6500000000005</v>
      </c>
      <c r="X68" s="6">
        <v>-332.46000000000015</v>
      </c>
      <c r="Y68" s="5">
        <v>124.37</v>
      </c>
      <c r="Z68" s="5">
        <v>8893.0000000000055</v>
      </c>
      <c r="AA68" s="6">
        <v>9749.9999999999945</v>
      </c>
      <c r="AB68" s="5"/>
      <c r="AC68" s="6">
        <v>-856.99999999999659</v>
      </c>
      <c r="AD68" s="5">
        <v>800.00000000000057</v>
      </c>
    </row>
    <row r="69" spans="1:30" x14ac:dyDescent="0.3">
      <c r="A69" s="4" t="s">
        <v>71</v>
      </c>
      <c r="B69" s="4" t="s">
        <v>77</v>
      </c>
      <c r="C69" s="5">
        <v>15320.84</v>
      </c>
      <c r="D69" s="6">
        <v>8312.1499999999978</v>
      </c>
      <c r="E69" s="5"/>
      <c r="F69" s="6">
        <v>7008.6899999999987</v>
      </c>
      <c r="G69" s="5">
        <v>1491.32</v>
      </c>
      <c r="H69" s="5">
        <v>14243.000000000038</v>
      </c>
      <c r="I69" s="6">
        <v>13423.000000000013</v>
      </c>
      <c r="J69" s="5"/>
      <c r="K69" s="6">
        <v>820.00000000002365</v>
      </c>
      <c r="L69" s="5">
        <v>1424.0000000000041</v>
      </c>
      <c r="M69" s="5">
        <v>17888.900000000001</v>
      </c>
      <c r="N69" s="6">
        <v>6186.71</v>
      </c>
      <c r="O69" s="6">
        <v>11702.19</v>
      </c>
      <c r="P69" s="5">
        <v>1637.11</v>
      </c>
      <c r="Q69" s="5">
        <v>14243.000000000038</v>
      </c>
      <c r="R69" s="6">
        <v>9113.0000000000146</v>
      </c>
      <c r="S69" s="5"/>
      <c r="T69" s="6">
        <v>5130.0000000000255</v>
      </c>
      <c r="U69" s="5">
        <v>1424.0000000000041</v>
      </c>
      <c r="V69" s="5">
        <v>5277.62</v>
      </c>
      <c r="W69" s="6">
        <v>450.59</v>
      </c>
      <c r="X69" s="6">
        <v>4827.03</v>
      </c>
      <c r="Y69" s="5">
        <v>298.11</v>
      </c>
      <c r="Z69" s="5">
        <v>14400</v>
      </c>
      <c r="AA69" s="6">
        <v>13922.000000000013</v>
      </c>
      <c r="AB69" s="5"/>
      <c r="AC69" s="6">
        <v>477.99999999998818</v>
      </c>
      <c r="AD69" s="5">
        <v>1400.0000000000039</v>
      </c>
    </row>
    <row r="70" spans="1:30" x14ac:dyDescent="0.3">
      <c r="A70" s="4" t="s">
        <v>71</v>
      </c>
      <c r="B70" s="4" t="s">
        <v>78</v>
      </c>
      <c r="C70" s="5">
        <v>8948.34</v>
      </c>
      <c r="D70" s="6">
        <v>4433.1500000000015</v>
      </c>
      <c r="E70" s="5"/>
      <c r="F70" s="6">
        <v>4515.1900000000005</v>
      </c>
      <c r="G70" s="5">
        <v>894.8399999999998</v>
      </c>
      <c r="H70" s="5">
        <v>9000</v>
      </c>
      <c r="I70" s="6">
        <v>8949.9999999999945</v>
      </c>
      <c r="J70" s="5"/>
      <c r="K70" s="6">
        <v>50.00000000000523</v>
      </c>
      <c r="L70" s="5">
        <v>900</v>
      </c>
      <c r="M70" s="5">
        <v>9371.66</v>
      </c>
      <c r="N70" s="6">
        <v>-2207.23</v>
      </c>
      <c r="O70" s="6">
        <v>11578.890000000001</v>
      </c>
      <c r="P70" s="5">
        <v>937.17</v>
      </c>
      <c r="Q70" s="5">
        <v>8499.9999999999964</v>
      </c>
      <c r="R70" s="6">
        <v>3405</v>
      </c>
      <c r="S70" s="5"/>
      <c r="T70" s="6">
        <v>5094.9999999999964</v>
      </c>
      <c r="U70" s="5">
        <v>849.99999999999955</v>
      </c>
      <c r="V70" s="5">
        <v>2349.3999999999996</v>
      </c>
      <c r="W70" s="6">
        <v>1828.31</v>
      </c>
      <c r="X70" s="6">
        <v>521.09000000000015</v>
      </c>
      <c r="Y70" s="5">
        <v>155.87</v>
      </c>
      <c r="Z70" s="5">
        <v>8499.9999999999964</v>
      </c>
      <c r="AA70" s="6">
        <v>7178</v>
      </c>
      <c r="AB70" s="5"/>
      <c r="AC70" s="6">
        <v>1321.9999999999964</v>
      </c>
      <c r="AD70" s="5">
        <v>849.99999999999943</v>
      </c>
    </row>
    <row r="71" spans="1:30" x14ac:dyDescent="0.3">
      <c r="A71" s="4" t="s">
        <v>71</v>
      </c>
      <c r="B71" s="4" t="s">
        <v>79</v>
      </c>
      <c r="C71" s="5">
        <v>5315.54</v>
      </c>
      <c r="D71" s="6">
        <v>2758.4</v>
      </c>
      <c r="E71" s="5"/>
      <c r="F71" s="6">
        <v>2557.1399999999994</v>
      </c>
      <c r="G71" s="5">
        <v>509.55</v>
      </c>
      <c r="H71" s="5">
        <v>6799.9999999999936</v>
      </c>
      <c r="I71" s="6">
        <v>6440</v>
      </c>
      <c r="J71" s="5"/>
      <c r="K71" s="6">
        <v>359.99999999999659</v>
      </c>
      <c r="L71" s="5">
        <v>679.99999999999932</v>
      </c>
      <c r="M71" s="5">
        <v>4997.8499999999995</v>
      </c>
      <c r="N71" s="6">
        <v>2876.3300000000004</v>
      </c>
      <c r="O71" s="6">
        <v>2121.5200000000004</v>
      </c>
      <c r="P71" s="5">
        <v>493.79</v>
      </c>
      <c r="Q71" s="5">
        <v>6899.9999999999973</v>
      </c>
      <c r="R71" s="6">
        <v>6080</v>
      </c>
      <c r="S71" s="5"/>
      <c r="T71" s="6">
        <v>819.99999999999648</v>
      </c>
      <c r="U71" s="5">
        <v>579.99999999999966</v>
      </c>
      <c r="V71" s="5">
        <v>1284.9000000000001</v>
      </c>
      <c r="W71" s="6">
        <v>107.47</v>
      </c>
      <c r="X71" s="6">
        <v>1177.43</v>
      </c>
      <c r="Y71" s="5">
        <v>84.36</v>
      </c>
      <c r="Z71" s="5">
        <v>6899.9999999999973</v>
      </c>
      <c r="AA71" s="6">
        <v>7156.9999999999982</v>
      </c>
      <c r="AB71" s="5"/>
      <c r="AC71" s="6">
        <v>-257.00000000000364</v>
      </c>
      <c r="AD71" s="5">
        <v>579.99999999999966</v>
      </c>
    </row>
    <row r="72" spans="1:30" x14ac:dyDescent="0.3">
      <c r="A72" s="4" t="s">
        <v>71</v>
      </c>
      <c r="B72" s="4" t="s">
        <v>80</v>
      </c>
      <c r="C72" s="5">
        <v>13546.82</v>
      </c>
      <c r="D72" s="6">
        <v>9976.7199999999975</v>
      </c>
      <c r="E72" s="5"/>
      <c r="F72" s="6">
        <v>3570.0999999999972</v>
      </c>
      <c r="G72" s="5">
        <v>1302.57</v>
      </c>
      <c r="H72" s="5">
        <v>20739.999999999996</v>
      </c>
      <c r="I72" s="6">
        <v>20572.000000000004</v>
      </c>
      <c r="J72" s="5"/>
      <c r="K72" s="6">
        <v>167.99999999999272</v>
      </c>
      <c r="L72" s="5">
        <v>1200</v>
      </c>
      <c r="M72" s="5">
        <v>12904.189999999999</v>
      </c>
      <c r="N72" s="6">
        <v>10300.959999999999</v>
      </c>
      <c r="O72" s="6">
        <v>2603.2299999999991</v>
      </c>
      <c r="P72" s="5">
        <v>1025.6699999999998</v>
      </c>
      <c r="Q72" s="5">
        <v>27140.000000000033</v>
      </c>
      <c r="R72" s="6">
        <v>21601</v>
      </c>
      <c r="S72" s="5"/>
      <c r="T72" s="6">
        <v>5539.0000000000409</v>
      </c>
      <c r="U72" s="5">
        <v>1200</v>
      </c>
      <c r="V72" s="5">
        <v>3105.2799999999997</v>
      </c>
      <c r="W72" s="6">
        <v>4366.6499999999996</v>
      </c>
      <c r="X72" s="6">
        <v>-1261.3700000000001</v>
      </c>
      <c r="Y72" s="5">
        <v>1025.67</v>
      </c>
      <c r="Z72" s="5">
        <v>28109.999999999953</v>
      </c>
      <c r="AA72" s="6">
        <v>13699.999999999978</v>
      </c>
      <c r="AB72" s="5"/>
      <c r="AC72" s="6">
        <v>14409.999999999965</v>
      </c>
      <c r="AD72" s="5">
        <v>1299.9999999999961</v>
      </c>
    </row>
    <row r="73" spans="1:30" x14ac:dyDescent="0.3">
      <c r="A73" s="4" t="s">
        <v>71</v>
      </c>
      <c r="B73" s="4" t="s">
        <v>81</v>
      </c>
      <c r="C73" s="5">
        <v>22395.409999999996</v>
      </c>
      <c r="D73" s="6">
        <v>21601.16</v>
      </c>
      <c r="E73" s="5"/>
      <c r="F73" s="6">
        <v>794.25</v>
      </c>
      <c r="G73" s="5">
        <v>2220.04</v>
      </c>
      <c r="H73" s="5">
        <v>24999.999999999953</v>
      </c>
      <c r="I73" s="6">
        <v>36994.999999999985</v>
      </c>
      <c r="J73" s="5"/>
      <c r="K73" s="6">
        <v>-11995.000000000033</v>
      </c>
      <c r="L73" s="5">
        <v>2550</v>
      </c>
      <c r="M73" s="5">
        <v>22588.46</v>
      </c>
      <c r="N73" s="6">
        <v>3241.79</v>
      </c>
      <c r="O73" s="6">
        <v>19346.670000000002</v>
      </c>
      <c r="P73" s="5">
        <v>2241.8500000000004</v>
      </c>
      <c r="Q73" s="5">
        <v>24999.999999999953</v>
      </c>
      <c r="R73" s="6">
        <v>11315</v>
      </c>
      <c r="S73" s="5"/>
      <c r="T73" s="6">
        <v>13684.999999999962</v>
      </c>
      <c r="U73" s="5">
        <v>2550</v>
      </c>
      <c r="V73" s="5">
        <v>5542.5</v>
      </c>
      <c r="W73" s="6">
        <v>2551.6799999999998</v>
      </c>
      <c r="X73" s="6">
        <v>2990.8199999999997</v>
      </c>
      <c r="Y73" s="5">
        <v>365.48</v>
      </c>
      <c r="Z73" s="5">
        <v>24999.999999999953</v>
      </c>
      <c r="AA73" s="6">
        <v>22109.999999999996</v>
      </c>
      <c r="AB73" s="5"/>
      <c r="AC73" s="6">
        <v>2889.9999999999663</v>
      </c>
      <c r="AD73" s="5">
        <v>2499.9999999999959</v>
      </c>
    </row>
    <row r="74" spans="1:30" x14ac:dyDescent="0.3">
      <c r="A74" s="4" t="s">
        <v>71</v>
      </c>
      <c r="B74" s="4" t="s">
        <v>82</v>
      </c>
      <c r="C74" s="5">
        <v>391034.61</v>
      </c>
      <c r="D74" s="6">
        <v>175429.79</v>
      </c>
      <c r="E74" s="5">
        <v>-5083</v>
      </c>
      <c r="F74" s="6">
        <v>215604.82000000004</v>
      </c>
      <c r="G74" s="5">
        <v>1704.88</v>
      </c>
      <c r="H74" s="5">
        <v>299649.99999999959</v>
      </c>
      <c r="I74" s="6">
        <v>258973.67123707646</v>
      </c>
      <c r="J74" s="5"/>
      <c r="K74" s="6">
        <v>40676.328762923091</v>
      </c>
      <c r="L74" s="5">
        <v>1500</v>
      </c>
      <c r="M74" s="5">
        <v>28392.069999999992</v>
      </c>
      <c r="N74" s="6">
        <v>10179.17</v>
      </c>
      <c r="O74" s="6">
        <v>18212.899999999998</v>
      </c>
      <c r="P74" s="5">
        <v>1596.8700000000001</v>
      </c>
      <c r="Q74" s="5">
        <v>15699.999999999993</v>
      </c>
      <c r="R74" s="6">
        <v>11975</v>
      </c>
      <c r="S74" s="5"/>
      <c r="T74" s="6">
        <v>3724.9999999999955</v>
      </c>
      <c r="U74" s="5">
        <v>1500</v>
      </c>
      <c r="V74" s="5">
        <v>4397.12</v>
      </c>
      <c r="W74" s="6">
        <v>724.38</v>
      </c>
      <c r="X74" s="6">
        <v>3672.7400000000002</v>
      </c>
      <c r="Y74" s="5">
        <v>242.47</v>
      </c>
      <c r="Z74" s="5">
        <v>13800</v>
      </c>
      <c r="AA74" s="6">
        <v>11600.000000000009</v>
      </c>
      <c r="AB74" s="5"/>
      <c r="AC74" s="6">
        <v>2199.9999999999918</v>
      </c>
      <c r="AD74" s="5">
        <v>1149.9999999999995</v>
      </c>
    </row>
    <row r="75" spans="1:30" x14ac:dyDescent="0.3">
      <c r="A75" s="4" t="s">
        <v>71</v>
      </c>
      <c r="B75" s="4" t="s">
        <v>83</v>
      </c>
      <c r="C75" s="5">
        <v>9000</v>
      </c>
      <c r="D75" s="6">
        <v>1415.7400000000005</v>
      </c>
      <c r="E75" s="5"/>
      <c r="F75" s="6">
        <v>7584.26</v>
      </c>
      <c r="G75" s="5">
        <v>898</v>
      </c>
      <c r="H75" s="5">
        <v>7599.9999999999991</v>
      </c>
      <c r="I75" s="6">
        <v>6800.0000000000027</v>
      </c>
      <c r="J75" s="5"/>
      <c r="K75" s="6">
        <v>799.99999999999955</v>
      </c>
      <c r="L75" s="5">
        <v>750</v>
      </c>
      <c r="M75" s="5">
        <v>8510.51</v>
      </c>
      <c r="N75" s="6">
        <v>2778.1499999999996</v>
      </c>
      <c r="O75" s="6">
        <v>5732.36</v>
      </c>
      <c r="P75" s="5">
        <v>845.06</v>
      </c>
      <c r="Q75" s="5">
        <v>7500</v>
      </c>
      <c r="R75" s="6">
        <v>5450.0000000000018</v>
      </c>
      <c r="S75" s="5"/>
      <c r="T75" s="6">
        <v>2049.9999999999991</v>
      </c>
      <c r="U75" s="5">
        <v>750</v>
      </c>
      <c r="V75" s="5">
        <v>2071.52</v>
      </c>
      <c r="W75" s="6">
        <v>1254.03</v>
      </c>
      <c r="X75" s="6">
        <v>817.49</v>
      </c>
      <c r="Y75" s="5">
        <v>138.86000000000001</v>
      </c>
      <c r="Z75" s="5">
        <v>7500</v>
      </c>
      <c r="AA75" s="6">
        <v>5328</v>
      </c>
      <c r="AB75" s="5"/>
      <c r="AC75" s="6">
        <v>2172</v>
      </c>
      <c r="AD75" s="5">
        <v>750</v>
      </c>
    </row>
    <row r="76" spans="1:30" x14ac:dyDescent="0.3">
      <c r="A76" s="4" t="s">
        <v>71</v>
      </c>
      <c r="B76" s="4" t="s">
        <v>84</v>
      </c>
      <c r="C76" s="5">
        <v>6588.34</v>
      </c>
      <c r="D76" s="6">
        <v>2066.96</v>
      </c>
      <c r="E76" s="5"/>
      <c r="F76" s="6">
        <v>4521.38</v>
      </c>
      <c r="G76" s="5">
        <v>635.84</v>
      </c>
      <c r="H76" s="5">
        <v>6000.0000000000036</v>
      </c>
      <c r="I76" s="6">
        <v>5000.0000000000027</v>
      </c>
      <c r="J76" s="5"/>
      <c r="K76" s="6">
        <v>1000.0000000000031</v>
      </c>
      <c r="L76" s="5">
        <v>500.00000000000034</v>
      </c>
      <c r="M76" s="5">
        <v>7457.68</v>
      </c>
      <c r="N76" s="6">
        <v>2924.89</v>
      </c>
      <c r="O76" s="6">
        <v>4532.79</v>
      </c>
      <c r="P76" s="5">
        <v>729.27</v>
      </c>
      <c r="Q76" s="5">
        <v>5499.9999999999955</v>
      </c>
      <c r="R76" s="6">
        <v>4840</v>
      </c>
      <c r="S76" s="5"/>
      <c r="T76" s="6">
        <v>659.99999999999591</v>
      </c>
      <c r="U76" s="5">
        <v>549.99999999999966</v>
      </c>
      <c r="V76" s="5">
        <v>1877.8000000000002</v>
      </c>
      <c r="W76" s="6">
        <v>163.56</v>
      </c>
      <c r="X76" s="6">
        <v>1714.24</v>
      </c>
      <c r="Y76" s="5">
        <v>121.99</v>
      </c>
      <c r="Z76" s="5">
        <v>5499.9999999999955</v>
      </c>
      <c r="AA76" s="6">
        <v>5265</v>
      </c>
      <c r="AB76" s="5"/>
      <c r="AC76" s="6">
        <v>234.99999999999619</v>
      </c>
      <c r="AD76" s="5">
        <v>549.99999999999966</v>
      </c>
    </row>
    <row r="77" spans="1:30" x14ac:dyDescent="0.3">
      <c r="A77" s="4" t="s">
        <v>71</v>
      </c>
      <c r="B77" s="4" t="s">
        <v>85</v>
      </c>
      <c r="C77" s="5">
        <v>7167.1699999999992</v>
      </c>
      <c r="D77" s="6">
        <v>4598.9299999999994</v>
      </c>
      <c r="E77" s="5"/>
      <c r="F77" s="6">
        <v>2568.2400000000007</v>
      </c>
      <c r="G77" s="5">
        <v>699.55</v>
      </c>
      <c r="H77" s="5">
        <v>6499.9999999999936</v>
      </c>
      <c r="I77" s="6">
        <v>6374.9999999999964</v>
      </c>
      <c r="J77" s="5"/>
      <c r="K77" s="6">
        <v>124.99999999999733</v>
      </c>
      <c r="L77" s="5">
        <v>300</v>
      </c>
      <c r="M77" s="5">
        <v>7682.9800000000005</v>
      </c>
      <c r="N77" s="6">
        <v>6013.7600000000011</v>
      </c>
      <c r="O77" s="6">
        <v>1669.22</v>
      </c>
      <c r="P77" s="5">
        <v>756.94999999999993</v>
      </c>
      <c r="Q77" s="5">
        <v>7500.0000000000009</v>
      </c>
      <c r="R77" s="6">
        <v>6789.9999999999991</v>
      </c>
      <c r="S77" s="5"/>
      <c r="T77" s="6">
        <v>710.00000000000523</v>
      </c>
      <c r="U77" s="5">
        <v>650.00000000000045</v>
      </c>
      <c r="V77" s="5">
        <v>1965.2799999999997</v>
      </c>
      <c r="W77" s="6">
        <v>287.06</v>
      </c>
      <c r="X77" s="6">
        <v>1678.2200000000003</v>
      </c>
      <c r="Y77" s="5">
        <v>127.72</v>
      </c>
      <c r="Z77" s="5">
        <v>7699.9999999999964</v>
      </c>
      <c r="AA77" s="6">
        <v>4984.9999999999982</v>
      </c>
      <c r="AB77" s="5"/>
      <c r="AC77" s="6">
        <v>2714.9999999999973</v>
      </c>
      <c r="AD77" s="5">
        <v>699.99999999999955</v>
      </c>
    </row>
    <row r="78" spans="1:30" x14ac:dyDescent="0.3">
      <c r="A78" s="4" t="s">
        <v>71</v>
      </c>
      <c r="B78" s="4" t="s">
        <v>86</v>
      </c>
      <c r="C78" s="5">
        <v>5626.2399999999989</v>
      </c>
      <c r="D78" s="6">
        <v>4109.97</v>
      </c>
      <c r="E78" s="5"/>
      <c r="F78" s="6">
        <v>1516.2699999999995</v>
      </c>
      <c r="G78" s="5">
        <v>541.62</v>
      </c>
      <c r="H78" s="5">
        <v>3300</v>
      </c>
      <c r="I78" s="6">
        <v>3229.9999999999986</v>
      </c>
      <c r="J78" s="5"/>
      <c r="K78" s="6">
        <v>70.000000000000455</v>
      </c>
      <c r="L78" s="5">
        <v>330</v>
      </c>
      <c r="M78" s="5">
        <v>5263.82</v>
      </c>
      <c r="N78" s="6">
        <v>1621.2900000000002</v>
      </c>
      <c r="O78" s="6">
        <v>3642.5299999999997</v>
      </c>
      <c r="P78" s="5">
        <v>523.89</v>
      </c>
      <c r="Q78" s="5">
        <v>5500</v>
      </c>
      <c r="R78" s="6">
        <v>4500</v>
      </c>
      <c r="S78" s="5"/>
      <c r="T78" s="6">
        <v>1000</v>
      </c>
      <c r="U78" s="5">
        <v>450</v>
      </c>
      <c r="V78" s="5">
        <v>1326.4</v>
      </c>
      <c r="W78" s="6">
        <v>121.83</v>
      </c>
      <c r="X78" s="6">
        <v>1204.57</v>
      </c>
      <c r="Y78" s="5">
        <v>88.48</v>
      </c>
      <c r="Z78" s="5">
        <v>5499.9999999999991</v>
      </c>
      <c r="AA78" s="6">
        <v>5247</v>
      </c>
      <c r="AB78" s="5"/>
      <c r="AC78" s="6">
        <v>252.99999999999989</v>
      </c>
      <c r="AD78" s="5">
        <v>450</v>
      </c>
    </row>
    <row r="79" spans="1:30" x14ac:dyDescent="0.3">
      <c r="A79" s="4" t="s">
        <v>71</v>
      </c>
      <c r="B79" s="4" t="s">
        <v>87</v>
      </c>
      <c r="C79" s="5">
        <v>101383.76000000001</v>
      </c>
      <c r="D79" s="6">
        <v>39360.990000000013</v>
      </c>
      <c r="E79" s="5"/>
      <c r="F79" s="6">
        <v>62022.77</v>
      </c>
      <c r="G79" s="5">
        <v>1685.0600000000002</v>
      </c>
      <c r="H79" s="5">
        <v>37600.000000000036</v>
      </c>
      <c r="I79" s="6">
        <v>37519.999999999971</v>
      </c>
      <c r="J79" s="5"/>
      <c r="K79" s="6">
        <v>80.000000000073669</v>
      </c>
      <c r="L79" s="5">
        <v>1460.0000000000041</v>
      </c>
      <c r="M79" s="5">
        <v>46110.74</v>
      </c>
      <c r="N79" s="6">
        <v>36542.899999999987</v>
      </c>
      <c r="O79" s="6">
        <v>9567.8399999999965</v>
      </c>
      <c r="P79" s="5">
        <v>1765.15</v>
      </c>
      <c r="Q79" s="5">
        <v>75900.000000000044</v>
      </c>
      <c r="R79" s="6">
        <v>75039.999999999985</v>
      </c>
      <c r="S79" s="5"/>
      <c r="T79" s="6">
        <v>860.00000000003911</v>
      </c>
      <c r="U79" s="5">
        <v>1500</v>
      </c>
      <c r="V79" s="5">
        <v>14969.15</v>
      </c>
      <c r="W79" s="6">
        <v>854.54000000000008</v>
      </c>
      <c r="X79" s="6">
        <v>14114.609999999999</v>
      </c>
      <c r="Y79" s="5">
        <v>308.48</v>
      </c>
      <c r="Z79" s="5">
        <v>78000</v>
      </c>
      <c r="AA79" s="6">
        <v>37150</v>
      </c>
      <c r="AB79" s="5"/>
      <c r="AC79" s="6">
        <v>40850</v>
      </c>
      <c r="AD79" s="5">
        <v>1599.9999999999959</v>
      </c>
    </row>
    <row r="80" spans="1:30" x14ac:dyDescent="0.3">
      <c r="A80" s="4" t="s">
        <v>71</v>
      </c>
      <c r="B80" s="4" t="s">
        <v>88</v>
      </c>
      <c r="C80" s="5">
        <v>6145.96</v>
      </c>
      <c r="D80" s="6">
        <v>1430.4799999999998</v>
      </c>
      <c r="E80" s="5"/>
      <c r="F80" s="6">
        <v>4715.4800000000005</v>
      </c>
      <c r="G80" s="5">
        <v>601.59999999999991</v>
      </c>
      <c r="H80" s="5">
        <v>3699.9999999999959</v>
      </c>
      <c r="I80" s="6">
        <v>3670.0000000000014</v>
      </c>
      <c r="J80" s="5"/>
      <c r="K80" s="6">
        <v>29.999999999995055</v>
      </c>
      <c r="L80" s="5">
        <v>369.99999999999966</v>
      </c>
      <c r="M80" s="5">
        <v>6645.3499999999995</v>
      </c>
      <c r="N80" s="6">
        <v>3011.91</v>
      </c>
      <c r="O80" s="6">
        <v>3633.4399999999996</v>
      </c>
      <c r="P80" s="5">
        <v>652.04</v>
      </c>
      <c r="Q80" s="5">
        <v>4500</v>
      </c>
      <c r="R80" s="6">
        <v>3100</v>
      </c>
      <c r="S80" s="5"/>
      <c r="T80" s="6">
        <v>1400</v>
      </c>
      <c r="U80" s="5">
        <v>450</v>
      </c>
      <c r="V80" s="5">
        <v>1651.42</v>
      </c>
      <c r="W80" s="6">
        <v>180.37</v>
      </c>
      <c r="X80" s="6">
        <v>1471.0500000000002</v>
      </c>
      <c r="Y80" s="5">
        <v>106.9</v>
      </c>
      <c r="Z80" s="5">
        <v>4500</v>
      </c>
      <c r="AA80" s="6">
        <v>3055</v>
      </c>
      <c r="AB80" s="5"/>
      <c r="AC80" s="6">
        <v>1445</v>
      </c>
      <c r="AD80" s="5">
        <v>450</v>
      </c>
    </row>
    <row r="81" spans="1:30" x14ac:dyDescent="0.3">
      <c r="A81" s="4" t="s">
        <v>71</v>
      </c>
      <c r="B81" s="4" t="s">
        <v>89</v>
      </c>
      <c r="C81" s="5">
        <v>16102.08</v>
      </c>
      <c r="D81" s="6">
        <v>6311.26</v>
      </c>
      <c r="E81" s="5"/>
      <c r="F81" s="6">
        <v>9790.82</v>
      </c>
      <c r="G81" s="5">
        <v>1188.31</v>
      </c>
      <c r="H81" s="5">
        <v>13300.000000000005</v>
      </c>
      <c r="I81" s="6">
        <v>8900.0000000000036</v>
      </c>
      <c r="J81" s="5"/>
      <c r="K81" s="6">
        <v>4400.0000000000018</v>
      </c>
      <c r="L81" s="5">
        <v>699.99999999999966</v>
      </c>
      <c r="M81" s="5">
        <v>22429.14</v>
      </c>
      <c r="N81" s="6">
        <v>14623.430000000002</v>
      </c>
      <c r="O81" s="6">
        <v>7805.71</v>
      </c>
      <c r="P81" s="5">
        <v>1269.3</v>
      </c>
      <c r="Q81" s="5">
        <v>14200.000000000002</v>
      </c>
      <c r="R81" s="6">
        <v>9540.0000000000036</v>
      </c>
      <c r="S81" s="5"/>
      <c r="T81" s="6">
        <v>4659.9999999999955</v>
      </c>
      <c r="U81" s="5">
        <v>699.99999999999966</v>
      </c>
      <c r="V81" s="5">
        <v>3389.04</v>
      </c>
      <c r="W81" s="6">
        <v>694.11</v>
      </c>
      <c r="X81" s="6">
        <v>2694.9300000000003</v>
      </c>
      <c r="Y81" s="5">
        <v>215.55</v>
      </c>
      <c r="Z81" s="5">
        <v>15500.000000000005</v>
      </c>
      <c r="AA81" s="6">
        <v>14058.333333333332</v>
      </c>
      <c r="AB81" s="5"/>
      <c r="AC81" s="6">
        <v>1441.6666666666733</v>
      </c>
      <c r="AD81" s="5">
        <v>800.00000000000057</v>
      </c>
    </row>
    <row r="82" spans="1:30" x14ac:dyDescent="0.3">
      <c r="A82" s="4" t="s">
        <v>71</v>
      </c>
      <c r="B82" s="4" t="s">
        <v>90</v>
      </c>
      <c r="C82" s="5"/>
      <c r="D82" s="6">
        <v>699.86</v>
      </c>
      <c r="E82" s="5"/>
      <c r="F82" s="6">
        <v>-699.86</v>
      </c>
      <c r="G82" s="5"/>
      <c r="H82" s="5"/>
      <c r="I82" s="6"/>
      <c r="J82" s="5"/>
      <c r="K82" s="6"/>
      <c r="L82" s="5"/>
      <c r="M82" s="5">
        <v>217821.95999999996</v>
      </c>
      <c r="N82" s="6">
        <v>116983.99</v>
      </c>
      <c r="O82" s="6">
        <v>100837.97000000002</v>
      </c>
      <c r="P82" s="5">
        <v>249.48000000000002</v>
      </c>
      <c r="Q82" s="5">
        <v>299129.99999999959</v>
      </c>
      <c r="R82" s="6">
        <v>275605.41371095926</v>
      </c>
      <c r="S82" s="5"/>
      <c r="T82" s="6">
        <v>23524.586289040304</v>
      </c>
      <c r="U82" s="5">
        <v>500.00000000000034</v>
      </c>
      <c r="V82" s="5">
        <v>22597.019999999997</v>
      </c>
      <c r="W82" s="6">
        <v>8316.0099999999984</v>
      </c>
      <c r="X82" s="6">
        <v>14281.009999999997</v>
      </c>
      <c r="Y82" s="5">
        <v>80.08</v>
      </c>
      <c r="Z82" s="5">
        <v>295830.00000000041</v>
      </c>
      <c r="AA82" s="6">
        <v>268509.79629747174</v>
      </c>
      <c r="AB82" s="5"/>
      <c r="AC82" s="6">
        <v>27320.203702528706</v>
      </c>
      <c r="AD82" s="5">
        <v>500.00000000000028</v>
      </c>
    </row>
    <row r="83" spans="1:30" x14ac:dyDescent="0.3">
      <c r="A83" s="4" t="s">
        <v>71</v>
      </c>
      <c r="B83" s="4" t="s">
        <v>91</v>
      </c>
      <c r="C83" s="5">
        <v>4617.78</v>
      </c>
      <c r="D83" s="6">
        <v>584.74</v>
      </c>
      <c r="E83" s="5"/>
      <c r="F83" s="6">
        <v>4033.04</v>
      </c>
      <c r="G83" s="5">
        <v>456.28</v>
      </c>
      <c r="H83" s="5">
        <v>4199.9999999999955</v>
      </c>
      <c r="I83" s="6">
        <v>3619.9999999999995</v>
      </c>
      <c r="J83" s="5"/>
      <c r="K83" s="6">
        <v>579.99999999999568</v>
      </c>
      <c r="L83" s="5">
        <v>419.99999999999972</v>
      </c>
      <c r="M83" s="5">
        <v>4734.49</v>
      </c>
      <c r="N83" s="6">
        <v>1589.0000000000005</v>
      </c>
      <c r="O83" s="6">
        <v>3145.4900000000007</v>
      </c>
      <c r="P83" s="5">
        <v>457.95</v>
      </c>
      <c r="Q83" s="5">
        <v>4700.0000000000045</v>
      </c>
      <c r="R83" s="6">
        <v>3670.0000000000014</v>
      </c>
      <c r="S83" s="5"/>
      <c r="T83" s="6">
        <v>1030.0000000000027</v>
      </c>
      <c r="U83" s="5">
        <v>470.0000000000004</v>
      </c>
      <c r="V83" s="5">
        <v>1230.23</v>
      </c>
      <c r="W83" s="6">
        <v>114.58999999999999</v>
      </c>
      <c r="X83" s="6">
        <v>1115.6399999999999</v>
      </c>
      <c r="Y83" s="5">
        <v>80.91</v>
      </c>
      <c r="Z83" s="5">
        <v>4700.0000000000045</v>
      </c>
      <c r="AA83" s="6">
        <v>4336.0000000000018</v>
      </c>
      <c r="AB83" s="5"/>
      <c r="AC83" s="6">
        <v>364.00000000000455</v>
      </c>
      <c r="AD83" s="5">
        <v>470.00000000000034</v>
      </c>
    </row>
  </sheetData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FY22AFY23AFY24B</vt:lpstr>
      <vt:lpstr>original prophix export data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Brad Geene</dc:creator>
  <cp:keywords/>
  <dc:description/>
  <cp:lastModifiedBy>Julie Reese</cp:lastModifiedBy>
  <dcterms:created xsi:type="dcterms:W3CDTF">2024-01-04T14:55:36Z</dcterms:created>
  <dcterms:modified xsi:type="dcterms:W3CDTF">2024-05-21T01:35:30Z</dcterms:modified>
  <cp:category/>
</cp:coreProperties>
</file>