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Kenny\Desktop\ACCA Manuals\"/>
    </mc:Choice>
  </mc:AlternateContent>
  <xr:revisionPtr revIDLastSave="0" documentId="8_{D47A0AC0-6414-44A3-BF89-4AECCD3DEC96}" xr6:coauthVersionLast="45" xr6:coauthVersionMax="45" xr10:uidLastSave="{00000000-0000-0000-0000-000000000000}"/>
  <workbookProtection workbookAlgorithmName="SHA-512" workbookHashValue="E8moG1migudHGUHIMaaoekOeJXz3veRWIAJ0k8KYHu9d4UmlArl2rdkSiuvCIov8mxvwxqRbjgwpHTRS72BKDA==" workbookSaltValue="rb22R42PviSpYJPWxLAVlA==" workbookSpinCount="100000" lockStructure="1"/>
  <bookViews>
    <workbookView xWindow="-120" yWindow="-120" windowWidth="29040" windowHeight="15840" tabRatio="703" xr2:uid="{00000000-000D-0000-FFFF-FFFF00000000}"/>
  </bookViews>
  <sheets>
    <sheet name="Help" sheetId="20" r:id="rId1"/>
    <sheet name="Form S-1a" sheetId="1" r:id="rId2"/>
    <sheet name="Form S-1b" sheetId="17" r:id="rId3"/>
    <sheet name="Form S-1c" sheetId="19" r:id="rId4"/>
    <sheet name="Form S-1d" sheetId="18" r:id="rId5"/>
    <sheet name="Data" sheetId="2" state="hidden" r:id="rId6"/>
    <sheet name="System3" sheetId="7" state="hidden" r:id="rId7"/>
    <sheet name="System4" sheetId="8" state="hidden" r:id="rId8"/>
    <sheet name="System5" sheetId="9" state="hidden" r:id="rId9"/>
    <sheet name="System6" sheetId="10" state="hidden" r:id="rId10"/>
    <sheet name="System7" sheetId="11" state="hidden" r:id="rId11"/>
    <sheet name="System8" sheetId="12" state="hidden" r:id="rId12"/>
    <sheet name="System9" sheetId="13" state="hidden" r:id="rId13"/>
    <sheet name="System10" sheetId="14" state="hidden" r:id="rId14"/>
  </sheets>
  <definedNames>
    <definedName name="_ETD2" localSheetId="13">#REF!</definedName>
    <definedName name="_ETD2" localSheetId="6">#REF!</definedName>
    <definedName name="_ETD2" localSheetId="7">#REF!</definedName>
    <definedName name="_ETD2" localSheetId="9">#REF!</definedName>
    <definedName name="_ETD2" localSheetId="10">#REF!</definedName>
    <definedName name="_ETD2" localSheetId="11">#REF!</definedName>
    <definedName name="_ETD2" localSheetId="12">#REF!</definedName>
    <definedName name="_ETD2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Address" localSheetId="13">#REF!</definedName>
    <definedName name="Address" localSheetId="6">#REF!</definedName>
    <definedName name="Address" localSheetId="7">#REF!</definedName>
    <definedName name="Address" localSheetId="9">#REF!</definedName>
    <definedName name="Address" localSheetId="10">#REF!</definedName>
    <definedName name="Address" localSheetId="11">#REF!</definedName>
    <definedName name="Address" localSheetId="12">#REF!</definedName>
    <definedName name="Address">#REF!</definedName>
    <definedName name="CEILINGS" localSheetId="13">#REF!</definedName>
    <definedName name="CEILINGS" localSheetId="6">#REF!</definedName>
    <definedName name="CEILINGS" localSheetId="7">#REF!</definedName>
    <definedName name="CEILINGS" localSheetId="9">#REF!</definedName>
    <definedName name="CEILINGS" localSheetId="10">#REF!</definedName>
    <definedName name="CEILINGS" localSheetId="11">#REF!</definedName>
    <definedName name="CEILINGS" localSheetId="12">#REF!</definedName>
    <definedName name="CEILINGS">#REF!</definedName>
    <definedName name="CSZ" localSheetId="13">#REF!</definedName>
    <definedName name="CSZ" localSheetId="6">#REF!</definedName>
    <definedName name="CSZ" localSheetId="7">#REF!</definedName>
    <definedName name="CSZ" localSheetId="9">#REF!</definedName>
    <definedName name="CSZ" localSheetId="10">#REF!</definedName>
    <definedName name="CSZ" localSheetId="11">#REF!</definedName>
    <definedName name="CSZ" localSheetId="12">#REF!</definedName>
    <definedName name="CSZ">#REF!</definedName>
    <definedName name="DATA" localSheetId="13">#REF!</definedName>
    <definedName name="DATA" localSheetId="6">#REF!</definedName>
    <definedName name="DATA" localSheetId="7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>#REF!</definedName>
    <definedName name="DOORS" localSheetId="13">#REF!</definedName>
    <definedName name="DOORS" localSheetId="6">#REF!</definedName>
    <definedName name="DOORS" localSheetId="7">#REF!</definedName>
    <definedName name="DOORS" localSheetId="9">#REF!</definedName>
    <definedName name="DOORS" localSheetId="10">#REF!</definedName>
    <definedName name="DOORS" localSheetId="11">#REF!</definedName>
    <definedName name="DOORS" localSheetId="12">#REF!</definedName>
    <definedName name="DOORS">#REF!</definedName>
    <definedName name="duct1" localSheetId="13">#REF!</definedName>
    <definedName name="duct1" localSheetId="6">#REF!</definedName>
    <definedName name="duct1" localSheetId="7">#REF!</definedName>
    <definedName name="duct1" localSheetId="9">#REF!</definedName>
    <definedName name="duct1" localSheetId="10">#REF!</definedName>
    <definedName name="duct1" localSheetId="11">#REF!</definedName>
    <definedName name="duct1" localSheetId="12">#REF!</definedName>
    <definedName name="duct1">#REF!</definedName>
    <definedName name="duct2" localSheetId="13">#REF!</definedName>
    <definedName name="duct2" localSheetId="6">#REF!</definedName>
    <definedName name="duct2" localSheetId="7">#REF!</definedName>
    <definedName name="duct2" localSheetId="9">#REF!</definedName>
    <definedName name="duct2" localSheetId="10">#REF!</definedName>
    <definedName name="duct2" localSheetId="11">#REF!</definedName>
    <definedName name="duct2" localSheetId="12">#REF!</definedName>
    <definedName name="duct2">#REF!</definedName>
    <definedName name="duct3" localSheetId="13">#REF!</definedName>
    <definedName name="duct3" localSheetId="6">#REF!</definedName>
    <definedName name="duct3" localSheetId="7">#REF!</definedName>
    <definedName name="duct3" localSheetId="9">#REF!</definedName>
    <definedName name="duct3" localSheetId="10">#REF!</definedName>
    <definedName name="duct3" localSheetId="11">#REF!</definedName>
    <definedName name="duct3" localSheetId="12">#REF!</definedName>
    <definedName name="duct3">#REF!</definedName>
    <definedName name="duct4" localSheetId="13">#REF!</definedName>
    <definedName name="duct4" localSheetId="6">#REF!</definedName>
    <definedName name="duct4" localSheetId="7">#REF!</definedName>
    <definedName name="duct4" localSheetId="9">#REF!</definedName>
    <definedName name="duct4" localSheetId="10">#REF!</definedName>
    <definedName name="duct4" localSheetId="11">#REF!</definedName>
    <definedName name="duct4" localSheetId="12">#REF!</definedName>
    <definedName name="duct4">#REF!</definedName>
    <definedName name="duct5" localSheetId="13">#REF!</definedName>
    <definedName name="duct5" localSheetId="6">#REF!</definedName>
    <definedName name="duct5" localSheetId="7">#REF!</definedName>
    <definedName name="duct5" localSheetId="9">#REF!</definedName>
    <definedName name="duct5" localSheetId="10">#REF!</definedName>
    <definedName name="duct5" localSheetId="11">#REF!</definedName>
    <definedName name="duct5" localSheetId="12">#REF!</definedName>
    <definedName name="duct5">#REF!</definedName>
    <definedName name="duct6" localSheetId="13">#REF!</definedName>
    <definedName name="duct6" localSheetId="6">#REF!</definedName>
    <definedName name="duct6" localSheetId="7">#REF!</definedName>
    <definedName name="duct6" localSheetId="9">#REF!</definedName>
    <definedName name="duct6" localSheetId="10">#REF!</definedName>
    <definedName name="duct6" localSheetId="11">#REF!</definedName>
    <definedName name="duct6" localSheetId="12">#REF!</definedName>
    <definedName name="duct6">#REF!</definedName>
    <definedName name="DUCTS" localSheetId="13">#REF!</definedName>
    <definedName name="DUCTS" localSheetId="6">#REF!</definedName>
    <definedName name="DUCTS" localSheetId="7">#REF!</definedName>
    <definedName name="DUCTS" localSheetId="9">#REF!</definedName>
    <definedName name="DUCTS" localSheetId="10">#REF!</definedName>
    <definedName name="DUCTS" localSheetId="11">#REF!</definedName>
    <definedName name="DUCTS" localSheetId="12">#REF!</definedName>
    <definedName name="DUCTS">#REF!</definedName>
    <definedName name="ETD" localSheetId="13">#REF!</definedName>
    <definedName name="ETD" localSheetId="6">#REF!</definedName>
    <definedName name="ETD" localSheetId="7">#REF!</definedName>
    <definedName name="ETD" localSheetId="9">#REF!</definedName>
    <definedName name="ETD" localSheetId="10">#REF!</definedName>
    <definedName name="ETD" localSheetId="11">#REF!</definedName>
    <definedName name="ETD" localSheetId="12">#REF!</definedName>
    <definedName name="ETD">#REF!</definedName>
    <definedName name="FLOORS" localSheetId="13">#REF!</definedName>
    <definedName name="FLOORS" localSheetId="6">#REF!</definedName>
    <definedName name="FLOORS" localSheetId="7">#REF!</definedName>
    <definedName name="FLOORS" localSheetId="9">#REF!</definedName>
    <definedName name="FLOORS" localSheetId="10">#REF!</definedName>
    <definedName name="FLOORS" localSheetId="11">#REF!</definedName>
    <definedName name="FLOORS" localSheetId="12">#REF!</definedName>
    <definedName name="FLOORS">#REF!</definedName>
    <definedName name="GLASSCLG" localSheetId="13">#REF!</definedName>
    <definedName name="GLASSCLG" localSheetId="6">#REF!</definedName>
    <definedName name="GLASSCLG" localSheetId="7">#REF!</definedName>
    <definedName name="GLASSCLG" localSheetId="9">#REF!</definedName>
    <definedName name="GLASSCLG" localSheetId="10">#REF!</definedName>
    <definedName name="GLASSCLG" localSheetId="11">#REF!</definedName>
    <definedName name="GLASSCLG" localSheetId="12">#REF!</definedName>
    <definedName name="GLASSCLG">#REF!</definedName>
    <definedName name="GLASSHTG" localSheetId="13">#REF!</definedName>
    <definedName name="GLASSHTG" localSheetId="6">#REF!</definedName>
    <definedName name="GLASSHTG" localSheetId="7">#REF!</definedName>
    <definedName name="GLASSHTG" localSheetId="9">#REF!</definedName>
    <definedName name="GLASSHTG" localSheetId="10">#REF!</definedName>
    <definedName name="GLASSHTG" localSheetId="11">#REF!</definedName>
    <definedName name="GLASSHTG" localSheetId="12">#REF!</definedName>
    <definedName name="GLASSHTG">#REF!</definedName>
    <definedName name="INFIL" localSheetId="13">#REF!</definedName>
    <definedName name="INFIL" localSheetId="6">#REF!</definedName>
    <definedName name="INFIL" localSheetId="7">#REF!</definedName>
    <definedName name="INFIL" localSheetId="9">#REF!</definedName>
    <definedName name="INFIL" localSheetId="10">#REF!</definedName>
    <definedName name="INFIL" localSheetId="11">#REF!</definedName>
    <definedName name="INFIL" localSheetId="12">#REF!</definedName>
    <definedName name="INFIL">#REF!</definedName>
    <definedName name="INFILCLG" localSheetId="13">#REF!</definedName>
    <definedName name="INFILCLG" localSheetId="6">#REF!</definedName>
    <definedName name="INFILCLG" localSheetId="7">#REF!</definedName>
    <definedName name="INFILCLG" localSheetId="9">#REF!</definedName>
    <definedName name="INFILCLG" localSheetId="10">#REF!</definedName>
    <definedName name="INFILCLG" localSheetId="11">#REF!</definedName>
    <definedName name="INFILCLG" localSheetId="12">#REF!</definedName>
    <definedName name="INFILCLG">#REF!</definedName>
    <definedName name="INFILHTG" localSheetId="13">#REF!</definedName>
    <definedName name="INFILHTG" localSheetId="6">#REF!</definedName>
    <definedName name="INFILHTG" localSheetId="7">#REF!</definedName>
    <definedName name="INFILHTG" localSheetId="9">#REF!</definedName>
    <definedName name="INFILHTG" localSheetId="10">#REF!</definedName>
    <definedName name="INFILHTG" localSheetId="11">#REF!</definedName>
    <definedName name="INFILHTG" localSheetId="12">#REF!</definedName>
    <definedName name="INFILHTG">#REF!</definedName>
    <definedName name="JobDesc" localSheetId="13">#REF!</definedName>
    <definedName name="JobDesc" localSheetId="6">#REF!</definedName>
    <definedName name="JobDesc" localSheetId="7">#REF!</definedName>
    <definedName name="JobDesc" localSheetId="9">#REF!</definedName>
    <definedName name="JobDesc" localSheetId="10">#REF!</definedName>
    <definedName name="JobDesc" localSheetId="11">#REF!</definedName>
    <definedName name="JobDesc" localSheetId="12">#REF!</definedName>
    <definedName name="JobDesc">#REF!</definedName>
    <definedName name="latent" localSheetId="13">#REF!</definedName>
    <definedName name="latent" localSheetId="6">#REF!</definedName>
    <definedName name="latent" localSheetId="7">#REF!</definedName>
    <definedName name="latent" localSheetId="9">#REF!</definedName>
    <definedName name="latent" localSheetId="10">#REF!</definedName>
    <definedName name="latent" localSheetId="11">#REF!</definedName>
    <definedName name="latent" localSheetId="12">#REF!</definedName>
    <definedName name="latent">#REF!</definedName>
    <definedName name="Name" localSheetId="13">#REF!</definedName>
    <definedName name="Name" localSheetId="6">#REF!</definedName>
    <definedName name="Name" localSheetId="7">#REF!</definedName>
    <definedName name="Name" localSheetId="9">#REF!</definedName>
    <definedName name="Name" localSheetId="10">#REF!</definedName>
    <definedName name="Name" localSheetId="11">#REF!</definedName>
    <definedName name="Name" localSheetId="12">#REF!</definedName>
    <definedName name="Name">#REF!</definedName>
    <definedName name="_xlnm.Print_Area" localSheetId="1">'Form S-1a'!$A$1:$I$59</definedName>
    <definedName name="_xlnm.Print_Area" localSheetId="13">System10!$A$1:$K$66</definedName>
    <definedName name="_xlnm.Print_Area" localSheetId="6">System3!$A$1:$K$66</definedName>
    <definedName name="_xlnm.Print_Area" localSheetId="7">System4!$A$1:$K$66</definedName>
    <definedName name="_xlnm.Print_Area" localSheetId="8">System5!$A$1:$K$66</definedName>
    <definedName name="_xlnm.Print_Area" localSheetId="9">System6!$A$1:$K$66</definedName>
    <definedName name="_xlnm.Print_Area" localSheetId="10">System7!$A$1:$K$66</definedName>
    <definedName name="_xlnm.Print_Area" localSheetId="11">System8!$A$1:$K$66</definedName>
    <definedName name="_xlnm.Print_Area" localSheetId="12">System9!$A$1:$K$66</definedName>
    <definedName name="ROOMLOAD" localSheetId="13">#REF!</definedName>
    <definedName name="ROOMLOAD" localSheetId="6">#REF!</definedName>
    <definedName name="ROOMLOAD" localSheetId="7">#REF!</definedName>
    <definedName name="ROOMLOAD" localSheetId="9">#REF!</definedName>
    <definedName name="ROOMLOAD" localSheetId="10">#REF!</definedName>
    <definedName name="ROOMLOAD" localSheetId="11">#REF!</definedName>
    <definedName name="ROOMLOAD" localSheetId="12">#REF!</definedName>
    <definedName name="ROOMLOAD">#REF!</definedName>
    <definedName name="sducttemp" localSheetId="13">#REF!</definedName>
    <definedName name="sducttemp" localSheetId="6">#REF!</definedName>
    <definedName name="sducttemp" localSheetId="7">#REF!</definedName>
    <definedName name="sducttemp" localSheetId="9">#REF!</definedName>
    <definedName name="sducttemp" localSheetId="10">#REF!</definedName>
    <definedName name="sducttemp" localSheetId="11">#REF!</definedName>
    <definedName name="sducttemp" localSheetId="12">#REF!</definedName>
    <definedName name="sducttemp">#REF!</definedName>
    <definedName name="sensible" localSheetId="13">#REF!</definedName>
    <definedName name="sensible" localSheetId="6">#REF!</definedName>
    <definedName name="sensible" localSheetId="7">#REF!</definedName>
    <definedName name="sensible" localSheetId="9">#REF!</definedName>
    <definedName name="sensible" localSheetId="10">#REF!</definedName>
    <definedName name="sensible" localSheetId="11">#REF!</definedName>
    <definedName name="sensible" localSheetId="12">#REF!</definedName>
    <definedName name="sensible">#REF!</definedName>
    <definedName name="sensibleclg" localSheetId="13">#REF!</definedName>
    <definedName name="sensibleclg" localSheetId="6">#REF!</definedName>
    <definedName name="sensibleclg" localSheetId="7">#REF!</definedName>
    <definedName name="sensibleclg" localSheetId="9">#REF!</definedName>
    <definedName name="sensibleclg" localSheetId="10">#REF!</definedName>
    <definedName name="sensibleclg" localSheetId="11">#REF!</definedName>
    <definedName name="sensibleclg" localSheetId="12">#REF!</definedName>
    <definedName name="sensibleclg">#REF!</definedName>
    <definedName name="sensiblehtg" localSheetId="13">#REF!</definedName>
    <definedName name="sensiblehtg" localSheetId="6">#REF!</definedName>
    <definedName name="sensiblehtg" localSheetId="7">#REF!</definedName>
    <definedName name="sensiblehtg" localSheetId="9">#REF!</definedName>
    <definedName name="sensiblehtg" localSheetId="10">#REF!</definedName>
    <definedName name="sensiblehtg" localSheetId="11">#REF!</definedName>
    <definedName name="sensiblehtg" localSheetId="12">#REF!</definedName>
    <definedName name="sensiblehtg">#REF!</definedName>
    <definedName name="Sum" localSheetId="13">#REF!</definedName>
    <definedName name="Sum" localSheetId="6">#REF!</definedName>
    <definedName name="Sum" localSheetId="7">#REF!</definedName>
    <definedName name="Sum" localSheetId="9">#REF!</definedName>
    <definedName name="Sum" localSheetId="10">#REF!</definedName>
    <definedName name="Sum" localSheetId="11">#REF!</definedName>
    <definedName name="Sum" localSheetId="12">#REF!</definedName>
    <definedName name="Sum">#REF!</definedName>
    <definedName name="WALLS" localSheetId="13">#REF!</definedName>
    <definedName name="WALLS" localSheetId="6">#REF!</definedName>
    <definedName name="WALLS" localSheetId="7">#REF!</definedName>
    <definedName name="WALLS" localSheetId="9">#REF!</definedName>
    <definedName name="WALLS" localSheetId="10">#REF!</definedName>
    <definedName name="WALLS" localSheetId="11">#REF!</definedName>
    <definedName name="WALLS" localSheetId="12">#REF!</definedName>
    <definedName name="WALLS">#REF!</definedName>
    <definedName name="wdesign" localSheetId="13">#REF!</definedName>
    <definedName name="wdesign" localSheetId="6">#REF!</definedName>
    <definedName name="wdesign" localSheetId="7">#REF!</definedName>
    <definedName name="wdesign" localSheetId="9">#REF!</definedName>
    <definedName name="wdesign" localSheetId="10">#REF!</definedName>
    <definedName name="wdesign" localSheetId="11">#REF!</definedName>
    <definedName name="wdesign" localSheetId="12">#REF!</definedName>
    <definedName name="wdesign">#REF!</definedName>
    <definedName name="WTD" localSheetId="13">#REF!</definedName>
    <definedName name="WTD" localSheetId="6">#REF!</definedName>
    <definedName name="WTD" localSheetId="7">#REF!</definedName>
    <definedName name="WTD" localSheetId="9">#REF!</definedName>
    <definedName name="WTD" localSheetId="10">#REF!</definedName>
    <definedName name="WTD" localSheetId="11">#REF!</definedName>
    <definedName name="WTD" localSheetId="12">#REF!</definedName>
    <definedName name="WTD">#REF!</definedName>
    <definedName name="ZONE1" localSheetId="13">#REF!</definedName>
    <definedName name="ZONE1" localSheetId="6">#REF!</definedName>
    <definedName name="ZONE1" localSheetId="7">#REF!</definedName>
    <definedName name="ZONE1" localSheetId="9">#REF!</definedName>
    <definedName name="ZONE1" localSheetId="10">#REF!</definedName>
    <definedName name="ZONE1" localSheetId="11">#REF!</definedName>
    <definedName name="ZONE1" localSheetId="12">#REF!</definedName>
    <definedName name="ZON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8" l="1"/>
  <c r="F55" i="19"/>
  <c r="P15" i="2"/>
  <c r="O15" i="2"/>
  <c r="N15" i="2"/>
  <c r="P12" i="2"/>
  <c r="O12" i="2"/>
  <c r="N12" i="2"/>
  <c r="F59" i="1"/>
  <c r="F49" i="17"/>
  <c r="N44" i="2" l="1"/>
  <c r="G29" i="18" s="1"/>
  <c r="N43" i="2"/>
  <c r="G39" i="19" s="1"/>
  <c r="M44" i="2"/>
  <c r="F29" i="18" s="1"/>
  <c r="M43" i="2"/>
  <c r="F39" i="19" s="1"/>
  <c r="L44" i="2"/>
  <c r="L43" i="2"/>
  <c r="O44" i="2"/>
  <c r="O43" i="2"/>
  <c r="O42" i="2"/>
  <c r="N42" i="2"/>
  <c r="G33" i="17" s="1"/>
  <c r="M42" i="2"/>
  <c r="F33" i="17" s="1"/>
  <c r="L42" i="2"/>
  <c r="H19" i="18" l="1"/>
  <c r="H19" i="19"/>
  <c r="H19" i="17"/>
  <c r="H19" i="1"/>
  <c r="H47" i="1"/>
  <c r="F47" i="1"/>
  <c r="E33" i="1"/>
  <c r="I42" i="18" l="1"/>
  <c r="I52" i="19"/>
  <c r="I46" i="17"/>
  <c r="I56" i="1"/>
  <c r="R14" i="2"/>
  <c r="R15" i="2"/>
  <c r="R13" i="2" l="1"/>
  <c r="E46" i="17" l="1"/>
  <c r="H46" i="17" s="1"/>
  <c r="F46" i="17"/>
  <c r="E56" i="1"/>
  <c r="H56" i="1" s="1"/>
  <c r="E52" i="19"/>
  <c r="H52" i="19" s="1"/>
  <c r="F48" i="19"/>
  <c r="F43" i="19"/>
  <c r="B34" i="19"/>
  <c r="B33" i="19"/>
  <c r="D30" i="19"/>
  <c r="D31" i="19" s="1"/>
  <c r="B29" i="19"/>
  <c r="F25" i="19"/>
  <c r="D25" i="19"/>
  <c r="G25" i="19"/>
  <c r="I25" i="19" s="1"/>
  <c r="B23" i="19"/>
  <c r="B22" i="19"/>
  <c r="B28" i="19" s="1"/>
  <c r="I19" i="19"/>
  <c r="I30" i="19"/>
  <c r="H24" i="19"/>
  <c r="G31" i="19"/>
  <c r="I24" i="19"/>
  <c r="F31" i="19"/>
  <c r="H31" i="19" s="1"/>
  <c r="E42" i="18"/>
  <c r="H42" i="18" s="1"/>
  <c r="F38" i="18"/>
  <c r="F33" i="18"/>
  <c r="B24" i="18"/>
  <c r="B23" i="18"/>
  <c r="I19" i="18"/>
  <c r="D29" i="17"/>
  <c r="B22" i="17"/>
  <c r="F42" i="17"/>
  <c r="F37" i="17"/>
  <c r="B28" i="17"/>
  <c r="B27" i="17"/>
  <c r="I25" i="17"/>
  <c r="H25" i="17"/>
  <c r="F29" i="17"/>
  <c r="G29" i="17" s="1"/>
  <c r="I29" i="17" s="1"/>
  <c r="I24" i="17"/>
  <c r="H24" i="17"/>
  <c r="B23" i="17"/>
  <c r="I19" i="17"/>
  <c r="B31" i="1"/>
  <c r="H30" i="19"/>
  <c r="I25" i="18"/>
  <c r="B23" i="1"/>
  <c r="D27" i="1"/>
  <c r="H25" i="18"/>
  <c r="H26" i="18" s="1"/>
  <c r="O41" i="2"/>
  <c r="H36" i="18" s="1"/>
  <c r="H38" i="18" s="1"/>
  <c r="P9" i="2" s="1"/>
  <c r="N41" i="2"/>
  <c r="G43" i="1" s="1"/>
  <c r="L41" i="2"/>
  <c r="F42" i="18" s="1"/>
  <c r="M41" i="2"/>
  <c r="I34" i="1"/>
  <c r="I32" i="1"/>
  <c r="H34" i="1"/>
  <c r="H32" i="1"/>
  <c r="I24" i="1"/>
  <c r="I26" i="1"/>
  <c r="H26" i="1"/>
  <c r="H24" i="1"/>
  <c r="F25" i="1"/>
  <c r="F27" i="1" s="1"/>
  <c r="R9" i="2"/>
  <c r="R10" i="2"/>
  <c r="R11" i="2"/>
  <c r="R12" i="2"/>
  <c r="R8" i="2"/>
  <c r="B66" i="7"/>
  <c r="J11" i="14"/>
  <c r="C11" i="14"/>
  <c r="J10" i="14"/>
  <c r="E10" i="14"/>
  <c r="C10" i="14"/>
  <c r="J9" i="14"/>
  <c r="C9" i="14"/>
  <c r="J8" i="14"/>
  <c r="C8" i="14"/>
  <c r="J7" i="14"/>
  <c r="C26" i="14" s="1"/>
  <c r="C37" i="14" s="1"/>
  <c r="C7" i="14"/>
  <c r="J11" i="13"/>
  <c r="C11" i="13"/>
  <c r="J10" i="13"/>
  <c r="E10" i="13"/>
  <c r="C10" i="13"/>
  <c r="J9" i="13"/>
  <c r="C9" i="13"/>
  <c r="J8" i="13"/>
  <c r="C8" i="13"/>
  <c r="J7" i="13"/>
  <c r="C26" i="13" s="1"/>
  <c r="C37" i="13" s="1"/>
  <c r="C7" i="13"/>
  <c r="J11" i="12"/>
  <c r="C11" i="12"/>
  <c r="J10" i="12"/>
  <c r="E10" i="12"/>
  <c r="C10" i="12"/>
  <c r="J9" i="12"/>
  <c r="C9" i="12"/>
  <c r="J8" i="12"/>
  <c r="C8" i="12"/>
  <c r="J7" i="12"/>
  <c r="C26" i="12" s="1"/>
  <c r="C37" i="12" s="1"/>
  <c r="C7" i="12"/>
  <c r="J11" i="11"/>
  <c r="C11" i="11"/>
  <c r="J10" i="11"/>
  <c r="E10" i="11"/>
  <c r="C10" i="11"/>
  <c r="J9" i="11"/>
  <c r="C9" i="11"/>
  <c r="J8" i="11"/>
  <c r="C49" i="11" s="1"/>
  <c r="C8" i="11"/>
  <c r="J7" i="11"/>
  <c r="C48" i="11" s="1"/>
  <c r="C7" i="11"/>
  <c r="J11" i="10"/>
  <c r="C11" i="10"/>
  <c r="J10" i="10"/>
  <c r="E10" i="10"/>
  <c r="C10" i="10"/>
  <c r="J9" i="10"/>
  <c r="C9" i="10"/>
  <c r="J8" i="10"/>
  <c r="C8" i="10"/>
  <c r="J7" i="10"/>
  <c r="C26" i="10" s="1"/>
  <c r="C37" i="10" s="1"/>
  <c r="C7" i="10"/>
  <c r="J11" i="9"/>
  <c r="C11" i="9"/>
  <c r="J10" i="9"/>
  <c r="E10" i="9"/>
  <c r="C10" i="9"/>
  <c r="J9" i="9"/>
  <c r="C9" i="9"/>
  <c r="J8" i="9"/>
  <c r="C49" i="9" s="1"/>
  <c r="C8" i="9"/>
  <c r="J7" i="9"/>
  <c r="C26" i="9" s="1"/>
  <c r="C37" i="9" s="1"/>
  <c r="C7" i="9"/>
  <c r="J11" i="8"/>
  <c r="C11" i="8"/>
  <c r="J10" i="8"/>
  <c r="E10" i="8"/>
  <c r="C10" i="8"/>
  <c r="J9" i="8"/>
  <c r="C9" i="8"/>
  <c r="J8" i="8"/>
  <c r="C8" i="8"/>
  <c r="J7" i="8"/>
  <c r="C26" i="8"/>
  <c r="C37" i="8" s="1"/>
  <c r="C7" i="8"/>
  <c r="J11" i="7"/>
  <c r="C11" i="7"/>
  <c r="J10" i="7"/>
  <c r="E10" i="7"/>
  <c r="C10" i="7"/>
  <c r="J9" i="7"/>
  <c r="C9" i="7"/>
  <c r="J8" i="7"/>
  <c r="C8" i="7"/>
  <c r="J7" i="7"/>
  <c r="C26" i="7" s="1"/>
  <c r="C37" i="7" s="1"/>
  <c r="C7" i="7"/>
  <c r="C13" i="14"/>
  <c r="F24" i="14" s="1"/>
  <c r="C13" i="13"/>
  <c r="G13" i="13" s="1"/>
  <c r="C13" i="12"/>
  <c r="F24" i="12" s="1"/>
  <c r="C13" i="11"/>
  <c r="F24" i="11" s="1"/>
  <c r="C13" i="10"/>
  <c r="F24" i="10" s="1"/>
  <c r="C13" i="9"/>
  <c r="G13" i="9" s="1"/>
  <c r="C13" i="8"/>
  <c r="F24" i="8" s="1"/>
  <c r="C13" i="7"/>
  <c r="F24" i="7" s="1"/>
  <c r="B4" i="14"/>
  <c r="C3" i="14"/>
  <c r="B4" i="13"/>
  <c r="C3" i="13"/>
  <c r="B4" i="12"/>
  <c r="C3" i="12"/>
  <c r="B4" i="11"/>
  <c r="C3" i="11"/>
  <c r="B4" i="10"/>
  <c r="C3" i="10"/>
  <c r="B4" i="9"/>
  <c r="C3" i="9"/>
  <c r="B4" i="8"/>
  <c r="C3" i="8"/>
  <c r="B4" i="7"/>
  <c r="C3" i="7"/>
  <c r="G13" i="14"/>
  <c r="L64" i="14"/>
  <c r="I64" i="14"/>
  <c r="H64" i="14"/>
  <c r="G64" i="14"/>
  <c r="L60" i="14"/>
  <c r="I60" i="14" s="1"/>
  <c r="G60" i="14"/>
  <c r="M56" i="14"/>
  <c r="L56" i="14"/>
  <c r="F56" i="14"/>
  <c r="J55" i="14"/>
  <c r="I55" i="14"/>
  <c r="H55" i="14"/>
  <c r="E55" i="14"/>
  <c r="J45" i="14"/>
  <c r="I45" i="14"/>
  <c r="B45" i="14"/>
  <c r="B44" i="14"/>
  <c r="J43" i="14"/>
  <c r="I43" i="14"/>
  <c r="F43" i="14"/>
  <c r="B43" i="14"/>
  <c r="B42" i="14"/>
  <c r="F41" i="14"/>
  <c r="B41" i="14"/>
  <c r="B40" i="14"/>
  <c r="J39" i="14"/>
  <c r="I39" i="14"/>
  <c r="F39" i="14"/>
  <c r="E39" i="14"/>
  <c r="E46" i="14" s="1"/>
  <c r="B39" i="14"/>
  <c r="E35" i="14"/>
  <c r="J34" i="14"/>
  <c r="I34" i="14"/>
  <c r="B34" i="14"/>
  <c r="B33" i="14"/>
  <c r="J32" i="14"/>
  <c r="I32" i="14"/>
  <c r="B32" i="14"/>
  <c r="B31" i="14"/>
  <c r="F30" i="14"/>
  <c r="G30" i="14"/>
  <c r="B30" i="14"/>
  <c r="B29" i="14"/>
  <c r="J28" i="14"/>
  <c r="I28" i="14"/>
  <c r="B28" i="14"/>
  <c r="H24" i="14"/>
  <c r="C38" i="14" s="1"/>
  <c r="L64" i="13"/>
  <c r="I64" i="13"/>
  <c r="H64" i="13"/>
  <c r="G64" i="13"/>
  <c r="L60" i="13"/>
  <c r="G60" i="13"/>
  <c r="M56" i="13"/>
  <c r="L56" i="13"/>
  <c r="F56" i="13"/>
  <c r="J55" i="13"/>
  <c r="I55" i="13"/>
  <c r="H55" i="13"/>
  <c r="E55" i="13"/>
  <c r="J45" i="13"/>
  <c r="I45" i="13"/>
  <c r="B45" i="13"/>
  <c r="B44" i="13"/>
  <c r="J43" i="13"/>
  <c r="I43" i="13"/>
  <c r="F43" i="13"/>
  <c r="B43" i="13"/>
  <c r="B42" i="13"/>
  <c r="F41" i="13"/>
  <c r="B41" i="13"/>
  <c r="B40" i="13"/>
  <c r="J39" i="13"/>
  <c r="I39" i="13"/>
  <c r="F39" i="13"/>
  <c r="E39" i="13"/>
  <c r="E46" i="13" s="1"/>
  <c r="B39" i="13"/>
  <c r="E35" i="13"/>
  <c r="J34" i="13"/>
  <c r="I34" i="13"/>
  <c r="B34" i="13"/>
  <c r="B33" i="13"/>
  <c r="J32" i="13"/>
  <c r="I32" i="13"/>
  <c r="B32" i="13"/>
  <c r="B31" i="13"/>
  <c r="F30" i="13"/>
  <c r="G30" i="13"/>
  <c r="H30" i="13" s="1"/>
  <c r="B30" i="13"/>
  <c r="B29" i="13"/>
  <c r="J28" i="13"/>
  <c r="I28" i="13"/>
  <c r="B28" i="13"/>
  <c r="H24" i="13"/>
  <c r="C38" i="13" s="1"/>
  <c r="H44" i="13" s="1"/>
  <c r="J44" i="13" s="1"/>
  <c r="C49" i="13"/>
  <c r="L64" i="12"/>
  <c r="F64" i="12" s="1"/>
  <c r="I64" i="12"/>
  <c r="H64" i="12"/>
  <c r="G64" i="12"/>
  <c r="L60" i="12"/>
  <c r="J60" i="12" s="1"/>
  <c r="G60" i="12"/>
  <c r="M56" i="12"/>
  <c r="L56" i="12"/>
  <c r="F56" i="12"/>
  <c r="J55" i="12"/>
  <c r="I55" i="12"/>
  <c r="H55" i="12"/>
  <c r="E55" i="12"/>
  <c r="J45" i="12"/>
  <c r="I45" i="12"/>
  <c r="B45" i="12"/>
  <c r="B44" i="12"/>
  <c r="J43" i="12"/>
  <c r="I43" i="12"/>
  <c r="F43" i="12"/>
  <c r="B43" i="12"/>
  <c r="B42" i="12"/>
  <c r="F41" i="12"/>
  <c r="B41" i="12"/>
  <c r="B40" i="12"/>
  <c r="J39" i="12"/>
  <c r="I39" i="12"/>
  <c r="F39" i="12"/>
  <c r="E39" i="12"/>
  <c r="E46" i="12" s="1"/>
  <c r="B39" i="12"/>
  <c r="E35" i="12"/>
  <c r="J34" i="12"/>
  <c r="I34" i="12"/>
  <c r="B34" i="12"/>
  <c r="B33" i="12"/>
  <c r="J32" i="12"/>
  <c r="I32" i="12"/>
  <c r="B32" i="12"/>
  <c r="B31" i="12"/>
  <c r="F30" i="12"/>
  <c r="G30" i="12" s="1"/>
  <c r="B30" i="12"/>
  <c r="B29" i="12"/>
  <c r="J28" i="12"/>
  <c r="I28" i="12"/>
  <c r="B28" i="12"/>
  <c r="H24" i="12"/>
  <c r="C38" i="12" s="1"/>
  <c r="C49" i="12"/>
  <c r="G13" i="11"/>
  <c r="L64" i="11"/>
  <c r="I64" i="11"/>
  <c r="H64" i="11"/>
  <c r="G64" i="11"/>
  <c r="L60" i="11"/>
  <c r="J60" i="11" s="1"/>
  <c r="G60" i="11"/>
  <c r="M56" i="11"/>
  <c r="L56" i="11"/>
  <c r="F56" i="11"/>
  <c r="J55" i="11"/>
  <c r="I55" i="11"/>
  <c r="H55" i="11"/>
  <c r="E55" i="11"/>
  <c r="J45" i="11"/>
  <c r="I45" i="11"/>
  <c r="B45" i="11"/>
  <c r="B44" i="11"/>
  <c r="J43" i="11"/>
  <c r="I43" i="11"/>
  <c r="F43" i="11"/>
  <c r="B43" i="11"/>
  <c r="B42" i="11"/>
  <c r="F41" i="11"/>
  <c r="B41" i="11"/>
  <c r="B40" i="11"/>
  <c r="J39" i="11"/>
  <c r="I39" i="11"/>
  <c r="F39" i="11"/>
  <c r="E39" i="11"/>
  <c r="E50" i="11" s="1"/>
  <c r="E56" i="11" s="1"/>
  <c r="B39" i="11"/>
  <c r="E35" i="11"/>
  <c r="J34" i="11"/>
  <c r="I34" i="11"/>
  <c r="B34" i="11"/>
  <c r="B33" i="11"/>
  <c r="J32" i="11"/>
  <c r="I32" i="11"/>
  <c r="B32" i="11"/>
  <c r="B31" i="11"/>
  <c r="F30" i="11"/>
  <c r="G30" i="11" s="1"/>
  <c r="B30" i="11"/>
  <c r="B29" i="11"/>
  <c r="J28" i="11"/>
  <c r="I28" i="11"/>
  <c r="B28" i="11"/>
  <c r="H24" i="11"/>
  <c r="C27" i="11" s="1"/>
  <c r="G13" i="10"/>
  <c r="L64" i="10"/>
  <c r="G64" i="10"/>
  <c r="I64" i="10"/>
  <c r="L60" i="10"/>
  <c r="J60" i="10" s="1"/>
  <c r="G60" i="10"/>
  <c r="M56" i="10"/>
  <c r="L56" i="10"/>
  <c r="F56" i="10"/>
  <c r="J55" i="10"/>
  <c r="I55" i="10"/>
  <c r="H55" i="10"/>
  <c r="E55" i="10"/>
  <c r="J45" i="10"/>
  <c r="I45" i="10"/>
  <c r="B45" i="10"/>
  <c r="B44" i="10"/>
  <c r="J43" i="10"/>
  <c r="I43" i="10"/>
  <c r="F43" i="10"/>
  <c r="B43" i="10"/>
  <c r="B42" i="10"/>
  <c r="F41" i="10"/>
  <c r="B41" i="10"/>
  <c r="B40" i="10"/>
  <c r="J39" i="10"/>
  <c r="I39" i="10"/>
  <c r="F39" i="10"/>
  <c r="E39" i="10"/>
  <c r="B39" i="10"/>
  <c r="E35" i="10"/>
  <c r="J34" i="10"/>
  <c r="I34" i="10"/>
  <c r="B34" i="10"/>
  <c r="B33" i="10"/>
  <c r="J32" i="10"/>
  <c r="I32" i="10"/>
  <c r="B32" i="10"/>
  <c r="B31" i="10"/>
  <c r="F30" i="10"/>
  <c r="G30" i="10" s="1"/>
  <c r="B30" i="10"/>
  <c r="B29" i="10"/>
  <c r="J28" i="10"/>
  <c r="I28" i="10"/>
  <c r="B28" i="10"/>
  <c r="H24" i="10"/>
  <c r="C38" i="10" s="1"/>
  <c r="L64" i="9"/>
  <c r="I64" i="9"/>
  <c r="H64" i="9"/>
  <c r="G64" i="9"/>
  <c r="L60" i="9"/>
  <c r="G60" i="9"/>
  <c r="M56" i="9"/>
  <c r="L56" i="9"/>
  <c r="F56" i="9"/>
  <c r="J55" i="9"/>
  <c r="I55" i="9"/>
  <c r="H55" i="9"/>
  <c r="E55" i="9"/>
  <c r="J45" i="9"/>
  <c r="I45" i="9"/>
  <c r="B45" i="9"/>
  <c r="B44" i="9"/>
  <c r="J43" i="9"/>
  <c r="I43" i="9"/>
  <c r="F43" i="9"/>
  <c r="B43" i="9"/>
  <c r="B42" i="9"/>
  <c r="F41" i="9"/>
  <c r="B41" i="9"/>
  <c r="B40" i="9"/>
  <c r="J39" i="9"/>
  <c r="I39" i="9"/>
  <c r="F39" i="9"/>
  <c r="E39" i="9"/>
  <c r="E46" i="9" s="1"/>
  <c r="B39" i="9"/>
  <c r="E35" i="9"/>
  <c r="J34" i="9"/>
  <c r="I34" i="9"/>
  <c r="B34" i="9"/>
  <c r="B33" i="9"/>
  <c r="J32" i="9"/>
  <c r="I32" i="9"/>
  <c r="B32" i="9"/>
  <c r="B31" i="9"/>
  <c r="F30" i="9"/>
  <c r="G30" i="9" s="1"/>
  <c r="B30" i="9"/>
  <c r="B29" i="9"/>
  <c r="J28" i="9"/>
  <c r="I28" i="9"/>
  <c r="B28" i="9"/>
  <c r="H24" i="9"/>
  <c r="C38" i="9" s="1"/>
  <c r="C27" i="9"/>
  <c r="L64" i="8"/>
  <c r="I64" i="8"/>
  <c r="H64" i="8"/>
  <c r="G64" i="8"/>
  <c r="L60" i="8"/>
  <c r="J60" i="8" s="1"/>
  <c r="G60" i="8"/>
  <c r="M56" i="8"/>
  <c r="L56" i="8"/>
  <c r="F56" i="8"/>
  <c r="J55" i="8"/>
  <c r="I55" i="8"/>
  <c r="H55" i="8"/>
  <c r="E55" i="8"/>
  <c r="J45" i="8"/>
  <c r="I45" i="8"/>
  <c r="B45" i="8"/>
  <c r="B44" i="8"/>
  <c r="J43" i="8"/>
  <c r="I43" i="8"/>
  <c r="F43" i="8"/>
  <c r="B43" i="8"/>
  <c r="B42" i="8"/>
  <c r="F41" i="8"/>
  <c r="B41" i="8"/>
  <c r="B40" i="8"/>
  <c r="J39" i="8"/>
  <c r="I39" i="8"/>
  <c r="F39" i="8"/>
  <c r="G41" i="8" s="1"/>
  <c r="E39" i="8"/>
  <c r="E46" i="8" s="1"/>
  <c r="B39" i="8"/>
  <c r="E35" i="8"/>
  <c r="J34" i="8"/>
  <c r="I34" i="8"/>
  <c r="B34" i="8"/>
  <c r="B33" i="8"/>
  <c r="J32" i="8"/>
  <c r="I32" i="8"/>
  <c r="B32" i="8"/>
  <c r="B31" i="8"/>
  <c r="F30" i="8"/>
  <c r="G30" i="8" s="1"/>
  <c r="B30" i="8"/>
  <c r="B29" i="8"/>
  <c r="J28" i="8"/>
  <c r="I28" i="8"/>
  <c r="B28" i="8"/>
  <c r="H24" i="8"/>
  <c r="C38" i="8" s="1"/>
  <c r="C49" i="8"/>
  <c r="L64" i="7"/>
  <c r="I64" i="7"/>
  <c r="H64" i="7"/>
  <c r="G64" i="7"/>
  <c r="L60" i="7"/>
  <c r="I60" i="7" s="1"/>
  <c r="G60" i="7"/>
  <c r="M56" i="7"/>
  <c r="L56" i="7"/>
  <c r="F56" i="7"/>
  <c r="J55" i="7"/>
  <c r="I55" i="7"/>
  <c r="H55" i="7"/>
  <c r="E55" i="7"/>
  <c r="J45" i="7"/>
  <c r="I45" i="7"/>
  <c r="B45" i="7"/>
  <c r="B44" i="7"/>
  <c r="J43" i="7"/>
  <c r="I43" i="7"/>
  <c r="F43" i="7"/>
  <c r="B43" i="7"/>
  <c r="B42" i="7"/>
  <c r="F41" i="7"/>
  <c r="B41" i="7"/>
  <c r="B40" i="7"/>
  <c r="J39" i="7"/>
  <c r="I39" i="7"/>
  <c r="F39" i="7"/>
  <c r="G41" i="7" s="1"/>
  <c r="E39" i="7"/>
  <c r="E46" i="7" s="1"/>
  <c r="B39" i="7"/>
  <c r="E35" i="7"/>
  <c r="J34" i="7"/>
  <c r="I34" i="7"/>
  <c r="B34" i="7"/>
  <c r="B33" i="7"/>
  <c r="J32" i="7"/>
  <c r="I32" i="7"/>
  <c r="B32" i="7"/>
  <c r="B31" i="7"/>
  <c r="F30" i="7"/>
  <c r="G30" i="7" s="1"/>
  <c r="B30" i="7"/>
  <c r="B29" i="7"/>
  <c r="J28" i="7"/>
  <c r="I28" i="7"/>
  <c r="B28" i="7"/>
  <c r="H24" i="7"/>
  <c r="C27" i="7" s="1"/>
  <c r="C49" i="7"/>
  <c r="K14" i="2"/>
  <c r="K15" i="2" s="1"/>
  <c r="H64" i="10"/>
  <c r="G13" i="12"/>
  <c r="E24" i="8"/>
  <c r="E24" i="11"/>
  <c r="C24" i="13"/>
  <c r="C24" i="14"/>
  <c r="E24" i="12"/>
  <c r="C24" i="12"/>
  <c r="C24" i="10"/>
  <c r="C24" i="8"/>
  <c r="C24" i="11"/>
  <c r="C48" i="7"/>
  <c r="C48" i="8"/>
  <c r="E24" i="10"/>
  <c r="E24" i="14"/>
  <c r="C27" i="13"/>
  <c r="C24" i="7"/>
  <c r="C38" i="7"/>
  <c r="H44" i="7" s="1"/>
  <c r="E24" i="7"/>
  <c r="M12" i="2"/>
  <c r="B38" i="1"/>
  <c r="H60" i="9"/>
  <c r="H60" i="11"/>
  <c r="H60" i="10"/>
  <c r="H60" i="12"/>
  <c r="H60" i="13"/>
  <c r="H60" i="14"/>
  <c r="F52" i="1"/>
  <c r="B22" i="1"/>
  <c r="B30" i="1" s="1"/>
  <c r="E32" i="1"/>
  <c r="E34" i="1"/>
  <c r="B37" i="1"/>
  <c r="D32" i="1"/>
  <c r="D39" i="1" s="1"/>
  <c r="I19" i="1"/>
  <c r="B5" i="2" s="1"/>
  <c r="D15" i="2"/>
  <c r="D12" i="2"/>
  <c r="D9" i="2"/>
  <c r="D10" i="2"/>
  <c r="B14" i="2"/>
  <c r="B15" i="2" s="1"/>
  <c r="M15" i="2"/>
  <c r="E46" i="10"/>
  <c r="E50" i="10"/>
  <c r="E56" i="10" s="1"/>
  <c r="E50" i="14"/>
  <c r="E56" i="14" s="1"/>
  <c r="C48" i="12"/>
  <c r="H33" i="13"/>
  <c r="I33" i="13" s="1"/>
  <c r="J60" i="14"/>
  <c r="C48" i="9"/>
  <c r="C49" i="14"/>
  <c r="C49" i="10"/>
  <c r="F64" i="7" l="1"/>
  <c r="G35" i="13"/>
  <c r="G13" i="7"/>
  <c r="G13" i="8"/>
  <c r="H40" i="10"/>
  <c r="J40" i="10" s="1"/>
  <c r="G41" i="11"/>
  <c r="G46" i="11" s="1"/>
  <c r="G41" i="12"/>
  <c r="G41" i="14"/>
  <c r="H41" i="14" s="1"/>
  <c r="E50" i="8"/>
  <c r="E56" i="8" s="1"/>
  <c r="G41" i="9"/>
  <c r="G41" i="13"/>
  <c r="E50" i="7"/>
  <c r="E56" i="7" s="1"/>
  <c r="H29" i="13"/>
  <c r="I29" i="13" s="1"/>
  <c r="F64" i="9"/>
  <c r="C27" i="12"/>
  <c r="H29" i="12" s="1"/>
  <c r="C26" i="11"/>
  <c r="C37" i="11" s="1"/>
  <c r="G41" i="10"/>
  <c r="H50" i="8"/>
  <c r="F24" i="13"/>
  <c r="G46" i="14"/>
  <c r="G35" i="7"/>
  <c r="H30" i="7"/>
  <c r="H31" i="7" s="1"/>
  <c r="G46" i="8"/>
  <c r="H41" i="8"/>
  <c r="I41" i="8" s="1"/>
  <c r="I46" i="8" s="1"/>
  <c r="H44" i="14"/>
  <c r="H40" i="14"/>
  <c r="I40" i="14" s="1"/>
  <c r="H30" i="9"/>
  <c r="J30" i="9" s="1"/>
  <c r="G35" i="9"/>
  <c r="C27" i="8"/>
  <c r="C27" i="10"/>
  <c r="D24" i="7"/>
  <c r="G24" i="7" s="1"/>
  <c r="D24" i="8"/>
  <c r="G24" i="8" s="1"/>
  <c r="D24" i="14"/>
  <c r="G24" i="14" s="1"/>
  <c r="J33" i="13"/>
  <c r="E50" i="12"/>
  <c r="E56" i="12" s="1"/>
  <c r="F64" i="8"/>
  <c r="F64" i="10"/>
  <c r="F24" i="9"/>
  <c r="C48" i="14"/>
  <c r="D35" i="19"/>
  <c r="C48" i="13"/>
  <c r="G50" i="13" s="1"/>
  <c r="G56" i="13" s="1"/>
  <c r="D24" i="10"/>
  <c r="G24" i="10" s="1"/>
  <c r="H50" i="12"/>
  <c r="F33" i="1"/>
  <c r="G33" i="1" s="1"/>
  <c r="C27" i="14"/>
  <c r="D24" i="11"/>
  <c r="G24" i="11" s="1"/>
  <c r="I31" i="19"/>
  <c r="H25" i="19"/>
  <c r="D24" i="12"/>
  <c r="G24" i="12" s="1"/>
  <c r="G46" i="12"/>
  <c r="H41" i="12"/>
  <c r="I41" i="12" s="1"/>
  <c r="I46" i="12" s="1"/>
  <c r="H41" i="10"/>
  <c r="G46" i="10"/>
  <c r="H33" i="7"/>
  <c r="H29" i="7"/>
  <c r="J29" i="12"/>
  <c r="I29" i="12"/>
  <c r="H44" i="8"/>
  <c r="H42" i="8"/>
  <c r="H40" i="8"/>
  <c r="G35" i="11"/>
  <c r="H30" i="11"/>
  <c r="I30" i="11" s="1"/>
  <c r="G35" i="12"/>
  <c r="H30" i="12"/>
  <c r="I30" i="12" s="1"/>
  <c r="J44" i="7"/>
  <c r="I44" i="7"/>
  <c r="H31" i="13"/>
  <c r="I30" i="13"/>
  <c r="J30" i="13"/>
  <c r="H35" i="7"/>
  <c r="J31" i="7"/>
  <c r="I31" i="7"/>
  <c r="I41" i="13"/>
  <c r="I46" i="13" s="1"/>
  <c r="H41" i="13"/>
  <c r="G46" i="13"/>
  <c r="H30" i="10"/>
  <c r="I30" i="10" s="1"/>
  <c r="G35" i="10"/>
  <c r="H33" i="11"/>
  <c r="H29" i="11"/>
  <c r="I40" i="10"/>
  <c r="I44" i="14"/>
  <c r="J44" i="14"/>
  <c r="H30" i="8"/>
  <c r="G35" i="8"/>
  <c r="G46" i="7"/>
  <c r="H41" i="7"/>
  <c r="H40" i="12"/>
  <c r="H44" i="12"/>
  <c r="J40" i="14"/>
  <c r="H40" i="9"/>
  <c r="H50" i="13"/>
  <c r="I50" i="13" s="1"/>
  <c r="I51" i="13" s="1"/>
  <c r="H44" i="9"/>
  <c r="H41" i="9"/>
  <c r="E50" i="9"/>
  <c r="E56" i="9" s="1"/>
  <c r="E50" i="13"/>
  <c r="E56" i="13" s="1"/>
  <c r="F64" i="14"/>
  <c r="H29" i="17"/>
  <c r="H30" i="17" s="1"/>
  <c r="H29" i="9"/>
  <c r="H33" i="12"/>
  <c r="E46" i="11"/>
  <c r="G46" i="9"/>
  <c r="H33" i="9"/>
  <c r="I44" i="13"/>
  <c r="H30" i="14"/>
  <c r="G35" i="14"/>
  <c r="E24" i="9"/>
  <c r="E24" i="13"/>
  <c r="I30" i="7"/>
  <c r="H40" i="13"/>
  <c r="J30" i="7"/>
  <c r="C24" i="9"/>
  <c r="C38" i="11"/>
  <c r="H44" i="11" s="1"/>
  <c r="H44" i="10"/>
  <c r="F64" i="11"/>
  <c r="F64" i="13"/>
  <c r="H31" i="9"/>
  <c r="H40" i="7"/>
  <c r="C48" i="10"/>
  <c r="H50" i="10" s="1"/>
  <c r="H46" i="19"/>
  <c r="F56" i="1"/>
  <c r="H50" i="1"/>
  <c r="G42" i="18"/>
  <c r="H27" i="18"/>
  <c r="H31" i="18" s="1"/>
  <c r="G26" i="18"/>
  <c r="G27" i="18" s="1"/>
  <c r="G30" i="18" s="1"/>
  <c r="G31" i="18" s="1"/>
  <c r="D35" i="1"/>
  <c r="G50" i="12"/>
  <c r="I60" i="11"/>
  <c r="J60" i="7"/>
  <c r="G25" i="1"/>
  <c r="G27" i="1" s="1"/>
  <c r="I27" i="1" s="1"/>
  <c r="H25" i="1"/>
  <c r="D11" i="2"/>
  <c r="D13" i="2" s="1"/>
  <c r="D14" i="2" s="1"/>
  <c r="D16" i="2" s="1"/>
  <c r="G50" i="8"/>
  <c r="J50" i="8" s="1"/>
  <c r="G50" i="9"/>
  <c r="G56" i="9" s="1"/>
  <c r="H50" i="9"/>
  <c r="H50" i="11"/>
  <c r="G50" i="11"/>
  <c r="G50" i="7"/>
  <c r="H50" i="7"/>
  <c r="H50" i="14"/>
  <c r="G50" i="14"/>
  <c r="F35" i="19"/>
  <c r="F40" i="19" s="1"/>
  <c r="G35" i="19"/>
  <c r="I60" i="12"/>
  <c r="I60" i="8"/>
  <c r="G46" i="17"/>
  <c r="G56" i="1"/>
  <c r="J50" i="12"/>
  <c r="I60" i="10"/>
  <c r="H40" i="17"/>
  <c r="I42" i="17" s="1"/>
  <c r="N10" i="2" s="1"/>
  <c r="G35" i="1"/>
  <c r="I33" i="1"/>
  <c r="G39" i="1"/>
  <c r="F35" i="1"/>
  <c r="F39" i="1" s="1"/>
  <c r="I60" i="9"/>
  <c r="J60" i="9"/>
  <c r="J60" i="13"/>
  <c r="I60" i="13"/>
  <c r="F30" i="18"/>
  <c r="F31" i="18" s="1"/>
  <c r="F43" i="1"/>
  <c r="I38" i="18"/>
  <c r="P10" i="2" s="1"/>
  <c r="P11" i="2" s="1"/>
  <c r="P13" i="2" s="1"/>
  <c r="P14" i="2" s="1"/>
  <c r="P16" i="2" s="1"/>
  <c r="H60" i="8" s="1"/>
  <c r="I48" i="19"/>
  <c r="O10" i="2" s="1"/>
  <c r="H48" i="19"/>
  <c r="O9" i="2" s="1"/>
  <c r="I50" i="8"/>
  <c r="I51" i="8" s="1"/>
  <c r="H52" i="1"/>
  <c r="M9" i="2" s="1"/>
  <c r="I52" i="1"/>
  <c r="M10" i="2" s="1"/>
  <c r="F34" i="17"/>
  <c r="F35" i="17" s="1"/>
  <c r="F52" i="19"/>
  <c r="G52" i="19" s="1"/>
  <c r="O11" i="2" l="1"/>
  <c r="O13" i="2" s="1"/>
  <c r="O14" i="2" s="1"/>
  <c r="O16" i="2" s="1"/>
  <c r="H60" i="7" s="1"/>
  <c r="J29" i="13"/>
  <c r="I30" i="9"/>
  <c r="H41" i="11"/>
  <c r="J35" i="7"/>
  <c r="I41" i="11"/>
  <c r="I46" i="11" s="1"/>
  <c r="G53" i="12"/>
  <c r="H46" i="8"/>
  <c r="J41" i="8"/>
  <c r="J46" i="8" s="1"/>
  <c r="H33" i="14"/>
  <c r="H29" i="14"/>
  <c r="G56" i="12"/>
  <c r="H29" i="8"/>
  <c r="H33" i="8"/>
  <c r="I50" i="12"/>
  <c r="I51" i="12" s="1"/>
  <c r="H42" i="14"/>
  <c r="J41" i="14"/>
  <c r="J46" i="14" s="1"/>
  <c r="H46" i="14"/>
  <c r="H33" i="1"/>
  <c r="J50" i="13"/>
  <c r="H29" i="10"/>
  <c r="H33" i="10"/>
  <c r="I41" i="14"/>
  <c r="I46" i="14" s="1"/>
  <c r="H51" i="13"/>
  <c r="H52" i="13" s="1"/>
  <c r="H56" i="13" s="1"/>
  <c r="J56" i="13" s="1"/>
  <c r="I52" i="13"/>
  <c r="I56" i="13" s="1"/>
  <c r="J30" i="14"/>
  <c r="H31" i="14"/>
  <c r="J40" i="7"/>
  <c r="I40" i="7"/>
  <c r="J29" i="9"/>
  <c r="I29" i="9"/>
  <c r="G50" i="10"/>
  <c r="G53" i="10" s="1"/>
  <c r="H35" i="9"/>
  <c r="J31" i="9"/>
  <c r="I31" i="9"/>
  <c r="H40" i="11"/>
  <c r="H31" i="17"/>
  <c r="H35" i="17" s="1"/>
  <c r="G30" i="17"/>
  <c r="G31" i="17" s="1"/>
  <c r="I33" i="11"/>
  <c r="J33" i="11"/>
  <c r="J40" i="12"/>
  <c r="I40" i="12"/>
  <c r="J40" i="13"/>
  <c r="I40" i="13"/>
  <c r="J41" i="7"/>
  <c r="J46" i="7" s="1"/>
  <c r="H42" i="7"/>
  <c r="H46" i="7"/>
  <c r="H31" i="10"/>
  <c r="J30" i="10"/>
  <c r="J30" i="11"/>
  <c r="H31" i="11"/>
  <c r="J29" i="7"/>
  <c r="I29" i="7"/>
  <c r="I44" i="8"/>
  <c r="J44" i="8"/>
  <c r="J40" i="9"/>
  <c r="I40" i="9"/>
  <c r="I33" i="9"/>
  <c r="J33" i="9"/>
  <c r="H46" i="11"/>
  <c r="J41" i="11"/>
  <c r="J46" i="11" s="1"/>
  <c r="H42" i="11"/>
  <c r="I41" i="7"/>
  <c r="I46" i="7" s="1"/>
  <c r="I33" i="7"/>
  <c r="J33" i="7"/>
  <c r="H42" i="12"/>
  <c r="J41" i="12"/>
  <c r="J46" i="12" s="1"/>
  <c r="H46" i="12"/>
  <c r="J44" i="11"/>
  <c r="I44" i="11"/>
  <c r="I31" i="13"/>
  <c r="J31" i="13"/>
  <c r="H35" i="13"/>
  <c r="D24" i="13"/>
  <c r="G53" i="13" s="1"/>
  <c r="I35" i="7"/>
  <c r="I33" i="12"/>
  <c r="J33" i="12"/>
  <c r="H42" i="10"/>
  <c r="J41" i="10"/>
  <c r="J46" i="10" s="1"/>
  <c r="H46" i="10"/>
  <c r="J44" i="10"/>
  <c r="I44" i="10"/>
  <c r="D24" i="9"/>
  <c r="G24" i="9" s="1"/>
  <c r="I41" i="9"/>
  <c r="I46" i="9" s="1"/>
  <c r="H42" i="9"/>
  <c r="J41" i="9"/>
  <c r="J46" i="9" s="1"/>
  <c r="H46" i="9"/>
  <c r="I30" i="14"/>
  <c r="J40" i="8"/>
  <c r="I40" i="8"/>
  <c r="I41" i="10"/>
  <c r="I46" i="10" s="1"/>
  <c r="I44" i="12"/>
  <c r="J44" i="12"/>
  <c r="J30" i="8"/>
  <c r="H31" i="8"/>
  <c r="I44" i="9"/>
  <c r="J44" i="9"/>
  <c r="I30" i="8"/>
  <c r="I29" i="11"/>
  <c r="J29" i="11"/>
  <c r="H46" i="13"/>
  <c r="H42" i="13"/>
  <c r="J41" i="13"/>
  <c r="J46" i="13" s="1"/>
  <c r="J30" i="12"/>
  <c r="H31" i="12"/>
  <c r="I42" i="8"/>
  <c r="J42" i="8"/>
  <c r="I30" i="18"/>
  <c r="I27" i="18"/>
  <c r="H27" i="1"/>
  <c r="I25" i="1"/>
  <c r="H42" i="17"/>
  <c r="N9" i="2" s="1"/>
  <c r="N11" i="2" s="1"/>
  <c r="N13" i="2" s="1"/>
  <c r="N14" i="2" s="1"/>
  <c r="N16" i="2" s="1"/>
  <c r="G56" i="10"/>
  <c r="J50" i="7"/>
  <c r="J50" i="9"/>
  <c r="I35" i="19"/>
  <c r="I50" i="7"/>
  <c r="I51" i="7" s="1"/>
  <c r="G56" i="8"/>
  <c r="G53" i="8"/>
  <c r="G56" i="14"/>
  <c r="I50" i="14"/>
  <c r="I51" i="14" s="1"/>
  <c r="G56" i="11"/>
  <c r="I50" i="11"/>
  <c r="I51" i="11" s="1"/>
  <c r="G53" i="11"/>
  <c r="J50" i="14"/>
  <c r="G53" i="14"/>
  <c r="F41" i="19"/>
  <c r="F44" i="1"/>
  <c r="H35" i="19"/>
  <c r="H36" i="19" s="1"/>
  <c r="G56" i="7"/>
  <c r="G53" i="7"/>
  <c r="J50" i="11"/>
  <c r="I50" i="9"/>
  <c r="I51" i="9" s="1"/>
  <c r="H51" i="12"/>
  <c r="H52" i="12" s="1"/>
  <c r="I52" i="12"/>
  <c r="H35" i="1"/>
  <c r="H39" i="1"/>
  <c r="H40" i="1" s="1"/>
  <c r="G40" i="1" s="1"/>
  <c r="I39" i="1"/>
  <c r="I35" i="1"/>
  <c r="H51" i="8"/>
  <c r="H52" i="8" s="1"/>
  <c r="I52" i="8"/>
  <c r="H30" i="18"/>
  <c r="I53" i="13"/>
  <c r="M11" i="2"/>
  <c r="M13" i="2" s="1"/>
  <c r="M14" i="2" s="1"/>
  <c r="M16" i="2" s="1"/>
  <c r="G48" i="19" l="1"/>
  <c r="H55" i="19" s="1"/>
  <c r="G42" i="17"/>
  <c r="G38" i="18"/>
  <c r="J52" i="13"/>
  <c r="H53" i="13"/>
  <c r="I50" i="10"/>
  <c r="I51" i="10" s="1"/>
  <c r="J50" i="10"/>
  <c r="I33" i="10"/>
  <c r="J33" i="10"/>
  <c r="J33" i="8"/>
  <c r="I33" i="8"/>
  <c r="J29" i="10"/>
  <c r="I29" i="10"/>
  <c r="G24" i="13"/>
  <c r="J29" i="14"/>
  <c r="I29" i="14"/>
  <c r="I33" i="14"/>
  <c r="J33" i="14"/>
  <c r="J29" i="8"/>
  <c r="I29" i="8"/>
  <c r="J42" i="14"/>
  <c r="I42" i="14"/>
  <c r="J42" i="13"/>
  <c r="I42" i="13"/>
  <c r="J31" i="8"/>
  <c r="H35" i="8"/>
  <c r="I31" i="8"/>
  <c r="H35" i="11"/>
  <c r="J31" i="11"/>
  <c r="I31" i="11"/>
  <c r="J42" i="12"/>
  <c r="I42" i="12"/>
  <c r="J40" i="11"/>
  <c r="I40" i="11"/>
  <c r="I35" i="13"/>
  <c r="J35" i="13"/>
  <c r="I35" i="9"/>
  <c r="J35" i="9"/>
  <c r="J31" i="14"/>
  <c r="H35" i="14"/>
  <c r="I31" i="14"/>
  <c r="J42" i="9"/>
  <c r="I42" i="9"/>
  <c r="J42" i="10"/>
  <c r="I42" i="10"/>
  <c r="H35" i="10"/>
  <c r="J31" i="10"/>
  <c r="I31" i="10"/>
  <c r="G53" i="9"/>
  <c r="H35" i="12"/>
  <c r="J31" i="12"/>
  <c r="I31" i="12"/>
  <c r="J42" i="11"/>
  <c r="I42" i="11"/>
  <c r="J42" i="7"/>
  <c r="I42" i="7"/>
  <c r="I31" i="17"/>
  <c r="G34" i="17"/>
  <c r="G35" i="17" s="1"/>
  <c r="H51" i="7"/>
  <c r="H52" i="7" s="1"/>
  <c r="I52" i="7"/>
  <c r="I52" i="11"/>
  <c r="H51" i="11"/>
  <c r="H52" i="11" s="1"/>
  <c r="H51" i="14"/>
  <c r="H52" i="14" s="1"/>
  <c r="I52" i="14"/>
  <c r="I52" i="9"/>
  <c r="H51" i="9"/>
  <c r="H52" i="9" s="1"/>
  <c r="H37" i="19"/>
  <c r="H41" i="19" s="1"/>
  <c r="G36" i="19"/>
  <c r="H56" i="12"/>
  <c r="J56" i="12" s="1"/>
  <c r="J52" i="12"/>
  <c r="H53" i="12"/>
  <c r="I53" i="12"/>
  <c r="I56" i="12"/>
  <c r="H41" i="1"/>
  <c r="H45" i="1" s="1"/>
  <c r="F45" i="1"/>
  <c r="H45" i="18"/>
  <c r="G52" i="1"/>
  <c r="H49" i="17"/>
  <c r="H53" i="8"/>
  <c r="H56" i="8"/>
  <c r="J56" i="8" s="1"/>
  <c r="J52" i="8"/>
  <c r="I56" i="8"/>
  <c r="I53" i="8"/>
  <c r="I52" i="10" l="1"/>
  <c r="H51" i="10"/>
  <c r="H52" i="10" s="1"/>
  <c r="J35" i="11"/>
  <c r="I35" i="11"/>
  <c r="H34" i="17"/>
  <c r="I34" i="17"/>
  <c r="J35" i="12"/>
  <c r="I35" i="12"/>
  <c r="J35" i="8"/>
  <c r="I35" i="8"/>
  <c r="J35" i="10"/>
  <c r="I35" i="10"/>
  <c r="J35" i="14"/>
  <c r="I35" i="14"/>
  <c r="I53" i="7"/>
  <c r="I56" i="7"/>
  <c r="H53" i="7"/>
  <c r="J52" i="7"/>
  <c r="H56" i="7"/>
  <c r="J56" i="7" s="1"/>
  <c r="H59" i="1"/>
  <c r="G37" i="19"/>
  <c r="J52" i="9"/>
  <c r="H56" i="9"/>
  <c r="J56" i="9" s="1"/>
  <c r="H53" i="9"/>
  <c r="I53" i="14"/>
  <c r="I56" i="14"/>
  <c r="H56" i="11"/>
  <c r="J56" i="11" s="1"/>
  <c r="H53" i="11"/>
  <c r="J52" i="11"/>
  <c r="I56" i="9"/>
  <c r="I53" i="9"/>
  <c r="H56" i="14"/>
  <c r="J56" i="14" s="1"/>
  <c r="J52" i="14"/>
  <c r="H53" i="14"/>
  <c r="I56" i="11"/>
  <c r="I53" i="11"/>
  <c r="G41" i="1"/>
  <c r="G44" i="1" s="1"/>
  <c r="G45" i="1" s="1"/>
  <c r="H56" i="10" l="1"/>
  <c r="J56" i="10" s="1"/>
  <c r="J52" i="10"/>
  <c r="H53" i="10"/>
  <c r="I56" i="10"/>
  <c r="I53" i="10"/>
  <c r="I37" i="19"/>
  <c r="G40" i="19"/>
  <c r="G41" i="19" s="1"/>
  <c r="I41" i="1"/>
  <c r="H40" i="19" l="1"/>
  <c r="I40" i="19"/>
  <c r="I44" i="1"/>
  <c r="H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6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6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6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6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6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6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6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6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6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6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6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6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6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6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6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6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6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6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6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7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7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7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7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7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7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7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7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7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7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7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7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7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7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7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7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7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7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7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8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8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8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8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8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8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8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8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8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8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8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8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8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8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8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8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8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8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8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9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9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9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9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9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9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9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9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9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9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9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9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9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9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9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9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9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9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9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9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A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A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A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A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A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A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A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A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A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A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A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A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A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A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A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A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A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A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A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A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B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B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B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B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B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B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B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B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B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B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B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B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B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B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B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B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B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B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B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B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C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C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C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C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C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C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C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C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C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C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C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C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C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C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C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C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C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C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C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C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Savage</author>
  </authors>
  <commentList>
    <comment ref="J7" authorId="0" shapeId="0" xr:uid="{00000000-0006-0000-0D00-000001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J10" authorId="0" shapeId="0" xr:uid="{00000000-0006-0000-0D00-000002000000}">
      <text>
        <r>
          <rPr>
            <sz val="9"/>
            <color indexed="81"/>
            <rFont val="Tahoma"/>
            <family val="2"/>
          </rPr>
          <t>To change this field, go to the Set-Up Data Tab.</t>
        </r>
      </text>
    </comment>
    <comment ref="G13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To change this field, go to the Set-Up Data Tab.</t>
        </r>
      </text>
    </comment>
    <comment ref="I20" authorId="0" shapeId="0" xr:uid="{00000000-0006-0000-0D00-000004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J20" authorId="0" shapeId="0" xr:uid="{00000000-0006-0000-0D00-000005000000}">
      <text>
        <r>
          <rPr>
            <sz val="9"/>
            <color indexed="81"/>
            <rFont val="Tahoma"/>
            <family val="2"/>
          </rPr>
          <t xml:space="preserve">These are provided to adjust the capacity for a variety of equipment match-ups. These are typically found beneath the detailed cooling capacity data chart.
</t>
        </r>
      </text>
    </comment>
    <comment ref="E24" authorId="0" shapeId="0" xr:uid="{00000000-0006-0000-0D00-000006000000}">
      <text>
        <r>
          <rPr>
            <sz val="9"/>
            <color indexed="81"/>
            <rFont val="Tahoma"/>
            <family val="2"/>
          </rPr>
          <t>Make sure you're NOT using the RSM load from Wrightsoft reports here. You'll want to use the RAW load data instead.</t>
        </r>
      </text>
    </comment>
    <comment ref="I24" authorId="0" shapeId="0" xr:uid="{00000000-0006-0000-0D00-000007000000}">
      <text>
        <r>
          <rPr>
            <sz val="9"/>
            <color indexed="81"/>
            <rFont val="Tahoma"/>
            <family val="2"/>
          </rPr>
          <t>Many OEM's don't provide capacity data at 75 drybulb. If your's does, then choose YES here.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00000000-0006-0000-0D00-000008000000}">
      <text>
        <r>
          <rPr>
            <sz val="9"/>
            <color indexed="81"/>
            <rFont val="Tahoma"/>
            <family val="2"/>
          </rPr>
          <t xml:space="preserve">Enter the adjustment # from footnotes here, if 75/63 data is not available.
</t>
        </r>
      </text>
    </comment>
    <comment ref="E28" authorId="0" shapeId="0" xr:uid="{00000000-0006-0000-0D00-000009000000}">
      <text>
        <r>
          <rPr>
            <sz val="9"/>
            <color indexed="81"/>
            <rFont val="Tahoma"/>
            <family val="2"/>
          </rPr>
          <t>Input the CFM value you'll be using to describe the capacity of the equipment. 
For 2-stage equipment, this would be the HIGH stage.</t>
        </r>
      </text>
    </comment>
    <comment ref="F28" authorId="0" shapeId="0" xr:uid="{00000000-0006-0000-0D00-00000A000000}">
      <text>
        <r>
          <rPr>
            <sz val="9"/>
            <color indexed="81"/>
            <rFont val="Tahoma"/>
            <family val="2"/>
          </rPr>
          <t>This temperature should be WARMER than 63 degrees.</t>
        </r>
      </text>
    </comment>
    <comment ref="G28" authorId="0" shapeId="0" xr:uid="{00000000-0006-0000-0D00-00000B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28" authorId="0" shapeId="0" xr:uid="{00000000-0006-0000-0D00-00000C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F32" authorId="0" shapeId="0" xr:uid="{00000000-0006-0000-0D00-00000D000000}">
      <text>
        <r>
          <rPr>
            <sz val="9"/>
            <color indexed="81"/>
            <rFont val="Tahoma"/>
            <family val="2"/>
          </rPr>
          <t>This temperature should be COOLER than 63 degrees.</t>
        </r>
      </text>
    </comment>
    <comment ref="G32" authorId="0" shapeId="0" xr:uid="{00000000-0006-0000-0D00-00000E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H32" authorId="0" shapeId="0" xr:uid="{00000000-0006-0000-0D00-00000F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C-24. 
Also, make sure it corresponds with the CFM listed in cell E-26.</t>
        </r>
      </text>
    </comment>
    <comment ref="G39" authorId="0" shapeId="0" xr:uid="{00000000-0006-0000-0D00-000010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39" authorId="0" shapeId="0" xr:uid="{00000000-0006-0000-0D00-000011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G43" authorId="0" shapeId="0" xr:uid="{00000000-0006-0000-0D00-000012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H43" authorId="0" shapeId="0" xr:uid="{00000000-0006-0000-0D00-000013000000}">
      <text>
        <r>
          <rPr>
            <sz val="9"/>
            <color indexed="81"/>
            <rFont val="Tahoma"/>
            <family val="2"/>
          </rPr>
          <t>Be sure to record the capacity of the equipment at the outdoor condition listed in cell C-35. 
Also, make sure it corresponds with the CFM listed in cell E-37.</t>
        </r>
      </text>
    </comment>
    <comment ref="E60" authorId="0" shapeId="0" xr:uid="{00000000-0006-0000-0D00-000014000000}">
      <text>
        <r>
          <rPr>
            <sz val="9"/>
            <color indexed="81"/>
            <rFont val="Tahoma"/>
            <family val="2"/>
          </rPr>
          <t>Enter capacity from OEM data. Often called "high temp" capacity.</t>
        </r>
      </text>
    </comment>
    <comment ref="F60" authorId="0" shapeId="0" xr:uid="{00000000-0006-0000-0D00-000015000000}">
      <text>
        <r>
          <rPr>
            <sz val="9"/>
            <color indexed="81"/>
            <rFont val="Tahoma"/>
            <family val="2"/>
          </rPr>
          <t>Enter capacity from OEM data. Often called "low temp" capacity.</t>
        </r>
      </text>
    </comment>
  </commentList>
</comments>
</file>

<file path=xl/sharedStrings.xml><?xml version="1.0" encoding="utf-8"?>
<sst xmlns="http://schemas.openxmlformats.org/spreadsheetml/2006/main" count="1426" uniqueCount="163">
  <si>
    <t>(F wb)</t>
  </si>
  <si>
    <t>TD</t>
  </si>
  <si>
    <t>CFM</t>
  </si>
  <si>
    <t>SHR</t>
  </si>
  <si>
    <t>Calculated</t>
  </si>
  <si>
    <t>Not Acceptable</t>
  </si>
  <si>
    <t>Acceptable</t>
  </si>
  <si>
    <t xml:space="preserve">Capacity @ Winter Design </t>
  </si>
  <si>
    <t xml:space="preserve">Total Heat loss @ Winter Design </t>
  </si>
  <si>
    <t>Electric Heat required</t>
  </si>
  <si>
    <t>KW</t>
  </si>
  <si>
    <t>Latent</t>
  </si>
  <si>
    <t>Sensible</t>
  </si>
  <si>
    <t>Capacity</t>
  </si>
  <si>
    <r>
      <t xml:space="preserve">@ 47 </t>
    </r>
    <r>
      <rPr>
        <sz val="8"/>
        <rFont val="Symbol"/>
        <family val="1"/>
        <charset val="2"/>
      </rPr>
      <t>°</t>
    </r>
    <r>
      <rPr>
        <sz val="8"/>
        <rFont val="Arial"/>
        <family val="2"/>
      </rPr>
      <t>F db</t>
    </r>
  </si>
  <si>
    <r>
      <t xml:space="preserve">@ 17 </t>
    </r>
    <r>
      <rPr>
        <sz val="8"/>
        <rFont val="Symbol"/>
        <family val="1"/>
        <charset val="2"/>
      </rPr>
      <t>°</t>
    </r>
    <r>
      <rPr>
        <sz val="8"/>
        <rFont val="Arial"/>
        <family val="2"/>
      </rPr>
      <t>F db</t>
    </r>
  </si>
  <si>
    <t>Balance</t>
  </si>
  <si>
    <t>Point</t>
  </si>
  <si>
    <t>Output</t>
  </si>
  <si>
    <t>Input</t>
  </si>
  <si>
    <t>AFUE</t>
  </si>
  <si>
    <t>Altitude Adjustment</t>
  </si>
  <si>
    <t>Return Air</t>
  </si>
  <si>
    <t>Excess Latent Capacity Calculation</t>
  </si>
  <si>
    <t>Equipment Capacity as a % of Design</t>
  </si>
  <si>
    <t>Project Information</t>
  </si>
  <si>
    <t>Outdoor Design Temperature - Winter</t>
  </si>
  <si>
    <t>Outdoor Design Temperature - Summer</t>
  </si>
  <si>
    <t>Indoor Design Temperature - Summer</t>
  </si>
  <si>
    <t>Indoor Design %RH - Summer</t>
  </si>
  <si>
    <t>State</t>
  </si>
  <si>
    <t>Name</t>
  </si>
  <si>
    <t>City</t>
  </si>
  <si>
    <t>Design Information</t>
  </si>
  <si>
    <t>Manufacturer</t>
  </si>
  <si>
    <t>Furnace #</t>
  </si>
  <si>
    <t>AHU/Coil #</t>
  </si>
  <si>
    <t>Condenser #</t>
  </si>
  <si>
    <t>SEER</t>
  </si>
  <si>
    <t>HSPF</t>
  </si>
  <si>
    <t>Loss</t>
  </si>
  <si>
    <t xml:space="preserve">Heat </t>
  </si>
  <si>
    <t>Total</t>
  </si>
  <si>
    <t>BTUH</t>
  </si>
  <si>
    <t>Interpolated Equipment Capacity</t>
  </si>
  <si>
    <t>Package #</t>
  </si>
  <si>
    <t>Proposed 
Equipment</t>
  </si>
  <si>
    <t>Manual J
Load</t>
  </si>
  <si>
    <t>System Name</t>
  </si>
  <si>
    <t>Zip Code</t>
  </si>
  <si>
    <t>Capacity Adj
1000cfm/deg</t>
  </si>
  <si>
    <t>Out DB</t>
  </si>
  <si>
    <t>In DB</t>
  </si>
  <si>
    <t>Capacity @ Design Conditions</t>
  </si>
  <si>
    <t>Capaicty @ Design</t>
  </si>
  <si>
    <t>Yes</t>
  </si>
  <si>
    <t>No</t>
  </si>
  <si>
    <t>Output from this chart</t>
  </si>
  <si>
    <t>In DB per Chart</t>
  </si>
  <si>
    <t>Out DB per Chart</t>
  </si>
  <si>
    <t>Chart Indoor
Dry Bulb</t>
  </si>
  <si>
    <t>Return Air WB</t>
  </si>
  <si>
    <t>Total Capacity</t>
  </si>
  <si>
    <t>COOLING CAPACITY AT DESIGN CONDITIONS</t>
  </si>
  <si>
    <t>Is Data Available
for 75DB/63WB?</t>
  </si>
  <si>
    <t>Equip. Match-Up Adjust Factor</t>
  </si>
  <si>
    <t>% of Load</t>
  </si>
  <si>
    <t>Next Size Down?
(-20kbtu input)</t>
  </si>
  <si>
    <t>Address</t>
  </si>
  <si>
    <t>Capacity &lt;= Design Temp</t>
  </si>
  <si>
    <t>Capacity &gt;= Design Temp</t>
  </si>
  <si>
    <t>Form developed by:</t>
  </si>
  <si>
    <t>For instructional video, visit: HomeEnergyPartners.com/Manual-S</t>
  </si>
  <si>
    <t>Heat Pump Data
(if applicable)</t>
  </si>
  <si>
    <t>Furnace Data
(if applicable)</t>
  </si>
  <si>
    <t>System Type</t>
  </si>
  <si>
    <t>Furnaces</t>
  </si>
  <si>
    <t>Air/Air Refrigerant-based</t>
  </si>
  <si>
    <t>Altitude</t>
  </si>
  <si>
    <t>Derating Capacity Due to Elevation</t>
  </si>
  <si>
    <t>Total Wet</t>
  </si>
  <si>
    <t>Sensible Wet</t>
  </si>
  <si>
    <t>Total Dry</t>
  </si>
  <si>
    <t>Alt. Factor</t>
  </si>
  <si>
    <t xml:space="preserve">Alt. Adj. Cap.
@ 47 °F db </t>
  </si>
  <si>
    <t xml:space="preserve">Alt. Adj. Cap.
@ 17 °F db </t>
  </si>
  <si>
    <t>Supplimental
Heat Required</t>
  </si>
  <si>
    <t>Alt Total</t>
  </si>
  <si>
    <t>Alt Sensible</t>
  </si>
  <si>
    <t>Project Location Elevation</t>
  </si>
  <si>
    <t>Completed by</t>
  </si>
  <si>
    <t>Equipment Selection Analysis via Manual-S Protocols</t>
  </si>
  <si>
    <t>Permit #</t>
  </si>
  <si>
    <t>System ID</t>
  </si>
  <si>
    <t>Air-Air, Cooling Only, Single-Speed Compressor, Mild Winter or Latent Load</t>
  </si>
  <si>
    <t>Air-Air, Heat Pump, Single-Speed Compressor, Mild Winter or Latent Load</t>
  </si>
  <si>
    <t>Air-Air, Cooling Only, Single-Speed Compressor, Cold Winter or No Latent Load</t>
  </si>
  <si>
    <t>Air-Air, Heat Pump, Single-Speed Compressor, Cold Winter or No Latent Load</t>
  </si>
  <si>
    <t>Air-Air, Cooling Only, Multi-Speed Compressor, Mild Winter or Latent Load</t>
  </si>
  <si>
    <t>Air-Air, Heat Pump, Multi-Speed Compressor, Mild Winter or Latent Load</t>
  </si>
  <si>
    <t>Air-Air, Cooling Only, Variable Speed Compressor, Mild Winter or Latent Load</t>
  </si>
  <si>
    <t>Air-Air, Heat Pump, Variable Speed Compressor, Mild Winter or Latent Load</t>
  </si>
  <si>
    <t>Air-Air, Cooling Only, Multi-Speed Compressor, Cold Winter or No Latent Load</t>
  </si>
  <si>
    <t>Air-Air, Heat Pump, Multi-Speed Compressor, Cold Winter or No Latent Load</t>
  </si>
  <si>
    <t>Air-Air, Cooling Only, Variable Speed Compressor, Cold Winter or No Latent Load</t>
  </si>
  <si>
    <t>Air-Air, Heat Pump, Variable Speed Compressor, Cold Winter or No Latent Load</t>
  </si>
  <si>
    <t>Oversizing Limits</t>
  </si>
  <si>
    <t>Interpolated Capacity</t>
  </si>
  <si>
    <t>Capacity from MFG table</t>
  </si>
  <si>
    <t xml:space="preserve">Cap. @ 17 °F db </t>
  </si>
  <si>
    <t xml:space="preserve">Cap. @ 47 °F db </t>
  </si>
  <si>
    <t>Altitude Adjustments</t>
  </si>
  <si>
    <t>Capacity
@ 47 °F db</t>
  </si>
  <si>
    <t>Balance
Point</t>
  </si>
  <si>
    <t>Altitude
Adjustment</t>
  </si>
  <si>
    <t>Oversing
Limits</t>
  </si>
  <si>
    <t>Furnace
Capacity</t>
  </si>
  <si>
    <t xml:space="preserve">Zip Code </t>
  </si>
  <si>
    <t>Manual J Load Calculations</t>
  </si>
  <si>
    <t>Design
CFM</t>
  </si>
  <si>
    <t>Capacity
@ 17 °F db</t>
  </si>
  <si>
    <t>Mfg. Equipment Match-Up Adjustment Factor</t>
  </si>
  <si>
    <t>The manufacturer's published outdoor data is 85 and 95 degrees db so interpolation is needed to calculate the capacity at 92 degrees db</t>
  </si>
  <si>
    <t>The manufacturer's published indoor data is 67 and 62 degrees wb so interpolation is needed to calculate the capacity at 63 degrees wb</t>
  </si>
  <si>
    <t>Use Form S-1a for two-way interpolation of manufacturer's cooling capacities at outdoor and indoor design conditions.</t>
  </si>
  <si>
    <t>Use Form S-1b for one-way interpolation of manufacturer's cooling capacities at indoor design conditions.</t>
  </si>
  <si>
    <t>The manufacturer's published outdoor data is equal to the design conditions.</t>
  </si>
  <si>
    <t>Use Form S-1c for one-way interpolation of manufacturer's cooling capacities at outdoor design conditions.</t>
  </si>
  <si>
    <t>The manufacturer's published indoor data is equal to the design conditions.</t>
  </si>
  <si>
    <t>Use Form S-1d for no interpolation of manufacturer's cooling capacities at outdoor design conditions.</t>
  </si>
  <si>
    <t>Exampe: My summer outdoor design is 95 degrees db and my indoor design is 63 degrees wb</t>
  </si>
  <si>
    <t>Exampe: My summer outdoor design is 92 degrees db and my indoor design is 63 degrees wb</t>
  </si>
  <si>
    <t>The following instructions are to assist you in choosing the correct Manual S Form for your design conditions and manufacturer's data.</t>
  </si>
  <si>
    <t>Furnace Data (if applicable)</t>
  </si>
  <si>
    <t>KW Required</t>
  </si>
  <si>
    <t>KW Proposed</t>
  </si>
  <si>
    <t>Fan Speed</t>
  </si>
  <si>
    <t>Med</t>
  </si>
  <si>
    <t>Electric Furnace</t>
  </si>
  <si>
    <t>Furnace Heating Only</t>
  </si>
  <si>
    <t>Form Selection Guide</t>
  </si>
  <si>
    <t>The Manual S Speedsheet is made up of four individual forms (S-1a through S-1d).</t>
  </si>
  <si>
    <t xml:space="preserve">One form must be selected and filled out complete for compliance with Manual S. </t>
  </si>
  <si>
    <t>Because design conditions and manufacturer's cooling and heating data sets vary, choose the form that best matches your criteria.</t>
  </si>
  <si>
    <t>All four of the individual Manual S forms have yellow colored cells to input your information, Manual J data and manufacturer's data.</t>
  </si>
  <si>
    <t>All applicable yellow cells must be filled out for full Manual S compliance.</t>
  </si>
  <si>
    <t>Boiler Heating Only</t>
  </si>
  <si>
    <t>Select Furnace or Boiler Option</t>
  </si>
  <si>
    <t>Furnace Data, heating only (if applicable)</t>
  </si>
  <si>
    <t>Boiler Data, heating only (if applicable)</t>
  </si>
  <si>
    <t>&lt;select&gt;</t>
  </si>
  <si>
    <t>Enter the listed capacities from the manufacturers cooling performance charts that are equal to 75 (F db) &amp; 63 (F wb) indoor design temperatures here</t>
  </si>
  <si>
    <t>To interpolate capacities, enter the listed capacities from the manufacturers cooling performance charts that are less than the design temperatures here</t>
  </si>
  <si>
    <t>To interpolate capacities, enter the listed capacities from the manufacturers cooling performance charts that are greater than the design temperatures here</t>
  </si>
  <si>
    <t>Enter the listed capacities from the manufacturers cooling performance charts that are equal to the design temperatures here</t>
  </si>
  <si>
    <t>All applicable dropdown selection cells are colored gray with bold font and must be selected for full Manual S compliance.</t>
  </si>
  <si>
    <t>Out DB per OEM Chart</t>
  </si>
  <si>
    <t>In DB per OEM Chart</t>
  </si>
  <si>
    <r>
      <t xml:space="preserve">Air Conditioning Contractors of America </t>
    </r>
    <r>
      <rPr>
        <b/>
        <sz val="11"/>
        <rFont val="Calibri"/>
        <family val="2"/>
      </rPr>
      <t>•</t>
    </r>
    <r>
      <rPr>
        <b/>
        <sz val="11"/>
        <rFont val="Arial"/>
        <family val="2"/>
      </rPr>
      <t xml:space="preserve"> Manual S 2nd Edition (2014) Residential Equipment Selection</t>
    </r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</si>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</sst>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,##0.0"/>
    <numFmt numFmtId="167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3" tint="0.39997558519241921"/>
      <name val="Arial"/>
      <family val="2"/>
    </font>
    <font>
      <b/>
      <sz val="1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2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14990691854609822"/>
      </right>
      <top style="thin">
        <color theme="0" tint="-0.499984740745262"/>
      </top>
      <bottom/>
      <diagonal/>
    </border>
    <border>
      <left style="thin">
        <color theme="0" tint="-0.14990691854609822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1" tint="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1" tint="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0" tint="-0.14990691854609822"/>
      </top>
      <bottom style="thin">
        <color theme="1" tint="0.24994659260841701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499984740745262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3" tint="-0.24994659260841701"/>
      </left>
      <right style="medium">
        <color theme="1" tint="0.499984740745262"/>
      </right>
      <top style="medium">
        <color theme="1" tint="0.499984740745262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3" tint="-0.24994659260841701"/>
      </left>
      <right style="thin">
        <color theme="0" tint="-0.499984740745262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3" tint="-0.24994659260841701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3" tint="-0.24994659260841701"/>
      </left>
      <right style="medium">
        <color theme="1" tint="0.499984740745262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1" tint="0.499984740745262"/>
      </top>
      <bottom style="thin">
        <color theme="3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499984740745262"/>
      </top>
      <bottom style="thin">
        <color theme="0" tint="-0.1499069185460982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49998474074526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49998474074526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/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34998626667073579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1" tint="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499984740745262"/>
      </right>
      <top/>
      <bottom style="thin">
        <color theme="1" tint="0.2499465926084170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1" tint="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1" tint="0.24994659260841701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374370555742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14999847407452621"/>
      </top>
      <bottom style="thin">
        <color theme="1" tint="0.34998626667073579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4999847407452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/>
      <bottom/>
      <diagonal/>
    </border>
    <border>
      <left style="thin">
        <color theme="0" tint="-0.1499374370555742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499984740745262"/>
      </right>
      <top/>
      <bottom style="thin">
        <color theme="0" tint="-0.14993743705557422"/>
      </bottom>
      <diagonal/>
    </border>
    <border>
      <left style="medium">
        <color theme="1" tint="0.499984740745262"/>
      </left>
      <right style="thin">
        <color theme="3" tint="-0.24994659260841701"/>
      </right>
      <top style="medium">
        <color theme="1" tint="0.499984740745262"/>
      </top>
      <bottom style="thin">
        <color theme="3" tint="-0.24994659260841701"/>
      </bottom>
      <diagonal/>
    </border>
    <border>
      <left style="medium">
        <color theme="1" tint="0.499984740745262"/>
      </left>
      <right style="thin">
        <color theme="3" tint="-0.24994659260841701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3499862666707357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7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0" fontId="0" fillId="0" borderId="0" xfId="2" applyNumberFormat="1" applyFont="1"/>
    <xf numFmtId="0" fontId="0" fillId="4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25" xfId="0" applyFont="1" applyFill="1" applyBorder="1" applyAlignment="1" applyProtection="1">
      <alignment vertical="center"/>
      <protection hidden="1"/>
    </xf>
    <xf numFmtId="0" fontId="4" fillId="0" borderId="26" xfId="0" applyFont="1" applyFill="1" applyBorder="1" applyAlignment="1" applyProtection="1">
      <alignment vertical="center"/>
      <protection hidden="1"/>
    </xf>
    <xf numFmtId="0" fontId="4" fillId="0" borderId="27" xfId="0" applyFont="1" applyFill="1" applyBorder="1" applyAlignment="1" applyProtection="1">
      <alignment vertical="center"/>
      <protection hidden="1"/>
    </xf>
    <xf numFmtId="0" fontId="4" fillId="0" borderId="28" xfId="0" applyFont="1" applyFill="1" applyBorder="1" applyAlignment="1" applyProtection="1">
      <alignment horizontal="center" vertical="center"/>
      <protection hidden="1"/>
    </xf>
    <xf numFmtId="0" fontId="4" fillId="0" borderId="29" xfId="0" applyFont="1" applyFill="1" applyBorder="1" applyAlignment="1" applyProtection="1">
      <alignment vertical="center"/>
      <protection hidden="1"/>
    </xf>
    <xf numFmtId="0" fontId="4" fillId="0" borderId="30" xfId="0" applyFont="1" applyFill="1" applyBorder="1" applyAlignment="1" applyProtection="1">
      <alignment vertical="center"/>
      <protection hidden="1"/>
    </xf>
    <xf numFmtId="0" fontId="4" fillId="0" borderId="31" xfId="0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hidden="1"/>
    </xf>
    <xf numFmtId="0" fontId="4" fillId="0" borderId="33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34" xfId="0" applyFont="1" applyFill="1" applyBorder="1" applyAlignment="1" applyProtection="1">
      <alignment horizontal="center" vertical="center" wrapText="1"/>
      <protection hidden="1"/>
    </xf>
    <xf numFmtId="0" fontId="2" fillId="0" borderId="35" xfId="0" applyFont="1" applyFill="1" applyBorder="1" applyAlignment="1" applyProtection="1">
      <alignment horizontal="center" vertical="center" wrapText="1"/>
      <protection hidden="1"/>
    </xf>
    <xf numFmtId="1" fontId="2" fillId="0" borderId="0" xfId="0" applyNumberFormat="1" applyFont="1" applyFill="1" applyBorder="1" applyAlignment="1" applyProtection="1">
      <alignment vertical="center"/>
      <protection hidden="1"/>
    </xf>
    <xf numFmtId="165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5" borderId="36" xfId="0" applyFont="1" applyFill="1" applyBorder="1" applyAlignment="1" applyProtection="1">
      <alignment horizontal="center" vertical="center"/>
      <protection hidden="1"/>
    </xf>
    <xf numFmtId="0" fontId="4" fillId="5" borderId="37" xfId="0" applyFont="1" applyFill="1" applyBorder="1" applyAlignment="1" applyProtection="1">
      <alignment horizontal="center" vertical="center"/>
      <protection hidden="1"/>
    </xf>
    <xf numFmtId="3" fontId="2" fillId="0" borderId="38" xfId="0" applyNumberFormat="1" applyFont="1" applyFill="1" applyBorder="1" applyAlignment="1" applyProtection="1">
      <alignment horizontal="center" vertical="center"/>
      <protection hidden="1"/>
    </xf>
    <xf numFmtId="2" fontId="2" fillId="0" borderId="39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3" fontId="2" fillId="6" borderId="40" xfId="0" applyNumberFormat="1" applyFont="1" applyFill="1" applyBorder="1" applyAlignment="1" applyProtection="1">
      <alignment horizontal="center" vertical="center"/>
      <protection hidden="1"/>
    </xf>
    <xf numFmtId="3" fontId="2" fillId="6" borderId="0" xfId="0" applyNumberFormat="1" applyFont="1" applyFill="1" applyBorder="1" applyAlignment="1" applyProtection="1">
      <alignment horizontal="center" vertical="center"/>
      <protection hidden="1"/>
    </xf>
    <xf numFmtId="2" fontId="2" fillId="6" borderId="41" xfId="0" applyNumberFormat="1" applyFont="1" applyFill="1" applyBorder="1" applyAlignment="1" applyProtection="1">
      <alignment horizontal="center" vertical="center"/>
      <protection hidden="1"/>
    </xf>
    <xf numFmtId="3" fontId="2" fillId="0" borderId="42" xfId="0" applyNumberFormat="1" applyFont="1" applyFill="1" applyBorder="1" applyAlignment="1" applyProtection="1">
      <alignment horizontal="center" vertical="center"/>
      <protection hidden="1"/>
    </xf>
    <xf numFmtId="2" fontId="2" fillId="0" borderId="43" xfId="0" applyNumberFormat="1" applyFont="1" applyFill="1" applyBorder="1" applyAlignment="1" applyProtection="1">
      <alignment horizontal="center" vertical="center"/>
      <protection hidden="1"/>
    </xf>
    <xf numFmtId="3" fontId="2" fillId="6" borderId="44" xfId="0" applyNumberFormat="1" applyFont="1" applyFill="1" applyBorder="1" applyAlignment="1" applyProtection="1">
      <alignment horizontal="center" vertical="center"/>
      <protection hidden="1"/>
    </xf>
    <xf numFmtId="3" fontId="2" fillId="6" borderId="45" xfId="0" applyNumberFormat="1" applyFont="1" applyFill="1" applyBorder="1" applyAlignment="1" applyProtection="1">
      <alignment horizontal="center" vertical="center"/>
      <protection hidden="1"/>
    </xf>
    <xf numFmtId="2" fontId="2" fillId="6" borderId="46" xfId="0" applyNumberFormat="1" applyFont="1" applyFill="1" applyBorder="1" applyAlignment="1" applyProtection="1">
      <alignment horizontal="center" vertical="center"/>
      <protection hidden="1"/>
    </xf>
    <xf numFmtId="3" fontId="2" fillId="0" borderId="47" xfId="0" applyNumberFormat="1" applyFont="1" applyFill="1" applyBorder="1" applyAlignment="1" applyProtection="1">
      <alignment horizontal="center" vertical="center"/>
      <protection hidden="1"/>
    </xf>
    <xf numFmtId="3" fontId="2" fillId="0" borderId="48" xfId="0" applyNumberFormat="1" applyFont="1" applyFill="1" applyBorder="1" applyAlignment="1" applyProtection="1">
      <alignment horizontal="center" vertical="center"/>
      <protection hidden="1"/>
    </xf>
    <xf numFmtId="3" fontId="2" fillId="0" borderId="49" xfId="0" applyNumberFormat="1" applyFont="1" applyFill="1" applyBorder="1" applyAlignment="1" applyProtection="1">
      <alignment horizontal="center" vertical="center"/>
      <protection hidden="1"/>
    </xf>
    <xf numFmtId="2" fontId="2" fillId="0" borderId="5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7" borderId="51" xfId="0" applyFont="1" applyFill="1" applyBorder="1" applyAlignment="1" applyProtection="1">
      <alignment horizontal="center" vertical="center"/>
      <protection locked="0" hidden="1"/>
    </xf>
    <xf numFmtId="3" fontId="3" fillId="7" borderId="51" xfId="0" applyNumberFormat="1" applyFont="1" applyFill="1" applyBorder="1" applyAlignment="1" applyProtection="1">
      <alignment horizontal="center" vertical="center"/>
      <protection hidden="1"/>
    </xf>
    <xf numFmtId="4" fontId="3" fillId="7" borderId="51" xfId="0" applyNumberFormat="1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0" fontId="4" fillId="5" borderId="36" xfId="0" applyFont="1" applyFill="1" applyBorder="1" applyAlignment="1" applyProtection="1">
      <alignment horizontal="center" vertical="center"/>
      <protection hidden="1"/>
    </xf>
    <xf numFmtId="1" fontId="2" fillId="5" borderId="52" xfId="0" applyNumberFormat="1" applyFont="1" applyFill="1" applyBorder="1" applyAlignment="1" applyProtection="1">
      <alignment horizontal="center" vertical="center"/>
      <protection hidden="1"/>
    </xf>
    <xf numFmtId="0" fontId="4" fillId="5" borderId="53" xfId="0" applyFont="1" applyFill="1" applyBorder="1" applyAlignment="1" applyProtection="1">
      <alignment horizontal="center" vertical="center"/>
      <protection hidden="1"/>
    </xf>
    <xf numFmtId="3" fontId="2" fillId="0" borderId="54" xfId="0" applyNumberFormat="1" applyFont="1" applyFill="1" applyBorder="1" applyAlignment="1" applyProtection="1">
      <alignment horizontal="center" vertical="center"/>
      <protection hidden="1"/>
    </xf>
    <xf numFmtId="3" fontId="2" fillId="0" borderId="55" xfId="0" applyNumberFormat="1" applyFont="1" applyFill="1" applyBorder="1" applyAlignment="1" applyProtection="1">
      <alignment horizontal="center" vertical="center"/>
      <protection hidden="1"/>
    </xf>
    <xf numFmtId="3" fontId="2" fillId="0" borderId="56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 textRotation="90"/>
      <protection hidden="1"/>
    </xf>
    <xf numFmtId="10" fontId="7" fillId="0" borderId="0" xfId="2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57" xfId="0" applyFont="1" applyFill="1" applyBorder="1" applyAlignment="1" applyProtection="1">
      <alignment horizontal="center" vertical="center"/>
      <protection hidden="1"/>
    </xf>
    <xf numFmtId="0" fontId="2" fillId="0" borderId="58" xfId="0" quotePrefix="1" applyFont="1" applyFill="1" applyBorder="1" applyAlignment="1" applyProtection="1">
      <alignment horizontal="center" vertical="center"/>
      <protection hidden="1"/>
    </xf>
    <xf numFmtId="0" fontId="2" fillId="0" borderId="59" xfId="0" quotePrefix="1" applyFont="1" applyFill="1" applyBorder="1" applyAlignment="1" applyProtection="1">
      <alignment horizontal="center" vertical="center"/>
      <protection hidden="1"/>
    </xf>
    <xf numFmtId="166" fontId="2" fillId="0" borderId="60" xfId="0" applyNumberFormat="1" applyFont="1" applyFill="1" applyBorder="1" applyAlignment="1" applyProtection="1">
      <alignment horizontal="center" vertical="center"/>
      <protection hidden="1"/>
    </xf>
    <xf numFmtId="0" fontId="2" fillId="0" borderId="58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2" fillId="0" borderId="61" xfId="0" applyFont="1" applyFill="1" applyBorder="1" applyAlignment="1" applyProtection="1">
      <alignment vertical="center"/>
      <protection hidden="1"/>
    </xf>
    <xf numFmtId="1" fontId="2" fillId="0" borderId="62" xfId="0" applyNumberFormat="1" applyFont="1" applyFill="1" applyBorder="1" applyAlignment="1" applyProtection="1">
      <alignment horizontal="center" vertical="center"/>
      <protection hidden="1"/>
    </xf>
    <xf numFmtId="1" fontId="2" fillId="0" borderId="52" xfId="0" applyNumberFormat="1" applyFont="1" applyFill="1" applyBorder="1" applyAlignment="1" applyProtection="1">
      <alignment horizontal="center" vertical="center"/>
      <protection hidden="1"/>
    </xf>
    <xf numFmtId="0" fontId="2" fillId="0" borderId="52" xfId="0" applyFont="1" applyFill="1" applyBorder="1" applyAlignment="1" applyProtection="1">
      <alignment horizontal="center" vertical="center"/>
      <protection locked="0" hidden="1"/>
    </xf>
    <xf numFmtId="9" fontId="2" fillId="0" borderId="60" xfId="0" applyNumberFormat="1" applyFont="1" applyFill="1" applyBorder="1" applyAlignment="1" applyProtection="1">
      <alignment horizontal="center" vertical="center"/>
      <protection hidden="1"/>
    </xf>
    <xf numFmtId="0" fontId="4" fillId="5" borderId="63" xfId="0" applyFont="1" applyFill="1" applyBorder="1" applyAlignment="1" applyProtection="1">
      <alignment horizontal="center" vertical="center"/>
      <protection hidden="1"/>
    </xf>
    <xf numFmtId="0" fontId="2" fillId="5" borderId="64" xfId="0" applyFont="1" applyFill="1" applyBorder="1" applyAlignment="1" applyProtection="1">
      <alignment horizontal="center" vertical="center"/>
      <protection hidden="1"/>
    </xf>
    <xf numFmtId="0" fontId="4" fillId="5" borderId="65" xfId="0" applyFont="1" applyFill="1" applyBorder="1" applyAlignment="1" applyProtection="1">
      <alignment horizontal="center" vertical="center"/>
      <protection hidden="1"/>
    </xf>
    <xf numFmtId="2" fontId="2" fillId="0" borderId="66" xfId="0" applyNumberFormat="1" applyFont="1" applyFill="1" applyBorder="1" applyAlignment="1" applyProtection="1">
      <alignment horizontal="center" vertical="center"/>
      <protection hidden="1"/>
    </xf>
    <xf numFmtId="0" fontId="2" fillId="8" borderId="67" xfId="0" applyFont="1" applyFill="1" applyBorder="1" applyAlignment="1" applyProtection="1">
      <alignment vertical="center"/>
      <protection hidden="1"/>
    </xf>
    <xf numFmtId="4" fontId="4" fillId="0" borderId="67" xfId="0" applyNumberFormat="1" applyFont="1" applyFill="1" applyBorder="1" applyAlignment="1" applyProtection="1">
      <alignment horizontal="center" vertical="center"/>
      <protection hidden="1"/>
    </xf>
    <xf numFmtId="167" fontId="7" fillId="9" borderId="68" xfId="2" applyNumberFormat="1" applyFont="1" applyFill="1" applyBorder="1" applyAlignment="1" applyProtection="1">
      <alignment horizontal="center" vertical="center"/>
      <protection hidden="1"/>
    </xf>
    <xf numFmtId="0" fontId="2" fillId="8" borderId="69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2" fillId="0" borderId="25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/>
      <protection hidden="1"/>
    </xf>
    <xf numFmtId="0" fontId="2" fillId="10" borderId="26" xfId="0" applyFont="1" applyFill="1" applyBorder="1" applyAlignment="1" applyProtection="1">
      <alignment vertical="center"/>
      <protection locked="0" hidden="1"/>
    </xf>
    <xf numFmtId="164" fontId="2" fillId="10" borderId="70" xfId="0" applyNumberFormat="1" applyFont="1" applyFill="1" applyBorder="1" applyAlignment="1" applyProtection="1">
      <alignment horizontal="center" vertical="center"/>
      <protection locked="0" hidden="1"/>
    </xf>
    <xf numFmtId="164" fontId="2" fillId="10" borderId="71" xfId="0" applyNumberFormat="1" applyFont="1" applyFill="1" applyBorder="1" applyAlignment="1" applyProtection="1">
      <alignment horizontal="center" vertical="center"/>
      <protection locked="0" hidden="1"/>
    </xf>
    <xf numFmtId="2" fontId="2" fillId="10" borderId="72" xfId="0" applyNumberFormat="1" applyFont="1" applyFill="1" applyBorder="1" applyAlignment="1" applyProtection="1">
      <alignment horizontal="center" vertical="center"/>
      <protection locked="0" hidden="1"/>
    </xf>
    <xf numFmtId="2" fontId="2" fillId="10" borderId="73" xfId="0" applyNumberFormat="1" applyFont="1" applyFill="1" applyBorder="1" applyAlignment="1" applyProtection="1">
      <alignment horizontal="center" vertical="center" wrapText="1"/>
      <protection locked="0" hidden="1"/>
    </xf>
    <xf numFmtId="2" fontId="2" fillId="10" borderId="7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10" borderId="75" xfId="0" applyNumberFormat="1" applyFont="1" applyFill="1" applyBorder="1" applyAlignment="1" applyProtection="1">
      <alignment horizontal="center" vertical="center"/>
      <protection locked="0" hidden="1"/>
    </xf>
    <xf numFmtId="1" fontId="2" fillId="10" borderId="76" xfId="0" applyNumberFormat="1" applyFont="1" applyFill="1" applyBorder="1" applyAlignment="1" applyProtection="1">
      <alignment horizontal="center" vertical="center"/>
      <protection locked="0" hidden="1"/>
    </xf>
    <xf numFmtId="3" fontId="2" fillId="11" borderId="77" xfId="0" applyNumberFormat="1" applyFont="1" applyFill="1" applyBorder="1" applyAlignment="1" applyProtection="1">
      <alignment horizontal="center" vertical="center"/>
      <protection locked="0" hidden="1"/>
    </xf>
    <xf numFmtId="3" fontId="2" fillId="11" borderId="60" xfId="0" applyNumberFormat="1" applyFont="1" applyFill="1" applyBorder="1" applyAlignment="1" applyProtection="1">
      <alignment horizontal="center" vertical="center"/>
      <protection locked="0" hidden="1"/>
    </xf>
    <xf numFmtId="3" fontId="2" fillId="10" borderId="78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2" fillId="0" borderId="79" xfId="0" applyFont="1" applyFill="1" applyBorder="1" applyAlignment="1" applyProtection="1">
      <alignment horizontal="center" vertical="center"/>
      <protection hidden="1"/>
    </xf>
    <xf numFmtId="0" fontId="4" fillId="0" borderId="80" xfId="0" applyFont="1" applyFill="1" applyBorder="1" applyAlignment="1" applyProtection="1">
      <alignment vertical="center"/>
      <protection hidden="1"/>
    </xf>
    <xf numFmtId="0" fontId="2" fillId="10" borderId="80" xfId="0" applyFont="1" applyFill="1" applyBorder="1" applyAlignment="1" applyProtection="1">
      <alignment vertical="center"/>
      <protection locked="0" hidden="1"/>
    </xf>
    <xf numFmtId="165" fontId="2" fillId="0" borderId="81" xfId="0" applyNumberFormat="1" applyFont="1" applyFill="1" applyBorder="1" applyAlignment="1" applyProtection="1">
      <alignment horizontal="center" vertical="center"/>
      <protection hidden="1"/>
    </xf>
    <xf numFmtId="0" fontId="4" fillId="0" borderId="82" xfId="0" applyFont="1" applyFill="1" applyBorder="1" applyAlignment="1" applyProtection="1">
      <alignment vertical="center"/>
      <protection hidden="1"/>
    </xf>
    <xf numFmtId="0" fontId="2" fillId="0" borderId="83" xfId="0" applyFont="1" applyFill="1" applyBorder="1" applyAlignment="1" applyProtection="1">
      <alignment horizontal="center" vertical="center"/>
      <protection hidden="1"/>
    </xf>
    <xf numFmtId="0" fontId="2" fillId="0" borderId="84" xfId="0" applyFont="1" applyFill="1" applyBorder="1" applyAlignment="1" applyProtection="1">
      <alignment horizontal="left" vertical="center"/>
      <protection hidden="1"/>
    </xf>
    <xf numFmtId="0" fontId="12" fillId="12" borderId="61" xfId="0" applyFont="1" applyFill="1" applyBorder="1" applyAlignment="1" applyProtection="1">
      <alignment vertical="center"/>
      <protection hidden="1"/>
    </xf>
    <xf numFmtId="0" fontId="12" fillId="12" borderId="61" xfId="0" applyFont="1" applyFill="1" applyBorder="1" applyAlignment="1" applyProtection="1">
      <alignment horizontal="center" vertical="center"/>
      <protection hidden="1"/>
    </xf>
    <xf numFmtId="0" fontId="2" fillId="12" borderId="61" xfId="0" applyFont="1" applyFill="1" applyBorder="1" applyAlignment="1" applyProtection="1">
      <alignment horizontal="center" vertical="center"/>
      <protection hidden="1"/>
    </xf>
    <xf numFmtId="165" fontId="2" fillId="12" borderId="85" xfId="0" applyNumberFormat="1" applyFont="1" applyFill="1" applyBorder="1" applyAlignment="1" applyProtection="1">
      <alignment horizontal="center" vertical="center"/>
      <protection locked="0" hidden="1"/>
    </xf>
    <xf numFmtId="0" fontId="4" fillId="5" borderId="86" xfId="0" applyFont="1" applyFill="1" applyBorder="1" applyAlignment="1" applyProtection="1">
      <alignment horizontal="center" vertical="center"/>
      <protection hidden="1"/>
    </xf>
    <xf numFmtId="0" fontId="4" fillId="5" borderId="87" xfId="0" applyFont="1" applyFill="1" applyBorder="1" applyAlignment="1" applyProtection="1">
      <alignment horizontal="center" vertical="center"/>
      <protection hidden="1"/>
    </xf>
    <xf numFmtId="0" fontId="4" fillId="5" borderId="88" xfId="0" applyFont="1" applyFill="1" applyBorder="1" applyAlignment="1" applyProtection="1">
      <alignment horizontal="center" vertical="center"/>
      <protection hidden="1"/>
    </xf>
    <xf numFmtId="0" fontId="4" fillId="5" borderId="89" xfId="0" applyFont="1" applyFill="1" applyBorder="1" applyAlignment="1" applyProtection="1">
      <alignment horizontal="center" vertical="center"/>
      <protection hidden="1"/>
    </xf>
    <xf numFmtId="0" fontId="4" fillId="5" borderId="90" xfId="0" applyFont="1" applyFill="1" applyBorder="1" applyAlignment="1" applyProtection="1">
      <alignment horizontal="center" vertical="center"/>
      <protection hidden="1"/>
    </xf>
    <xf numFmtId="0" fontId="2" fillId="0" borderId="91" xfId="0" applyFont="1" applyFill="1" applyBorder="1" applyAlignment="1" applyProtection="1">
      <alignment horizontal="center" vertical="center"/>
      <protection hidden="1"/>
    </xf>
    <xf numFmtId="0" fontId="2" fillId="0" borderId="92" xfId="0" applyFont="1" applyFill="1" applyBorder="1" applyAlignment="1" applyProtection="1">
      <alignment horizontal="center" vertical="center"/>
      <protection hidden="1"/>
    </xf>
    <xf numFmtId="0" fontId="2" fillId="5" borderId="93" xfId="0" applyFont="1" applyFill="1" applyBorder="1" applyAlignment="1" applyProtection="1">
      <alignment horizontal="center" vertical="center"/>
      <protection hidden="1"/>
    </xf>
    <xf numFmtId="0" fontId="2" fillId="5" borderId="94" xfId="0" applyFont="1" applyFill="1" applyBorder="1" applyAlignment="1" applyProtection="1">
      <alignment horizontal="center" vertical="center"/>
      <protection hidden="1"/>
    </xf>
    <xf numFmtId="0" fontId="3" fillId="5" borderId="95" xfId="0" applyFont="1" applyFill="1" applyBorder="1" applyAlignment="1" applyProtection="1">
      <alignment horizontal="center" vertical="center"/>
      <protection hidden="1"/>
    </xf>
    <xf numFmtId="1" fontId="3" fillId="6" borderId="96" xfId="0" applyNumberFormat="1" applyFont="1" applyFill="1" applyBorder="1" applyAlignment="1" applyProtection="1">
      <alignment horizontal="center" vertical="center"/>
      <protection locked="0" hidden="1"/>
    </xf>
    <xf numFmtId="3" fontId="3" fillId="6" borderId="96" xfId="0" applyNumberFormat="1" applyFont="1" applyFill="1" applyBorder="1" applyAlignment="1" applyProtection="1">
      <alignment horizontal="center" vertical="center"/>
      <protection hidden="1"/>
    </xf>
    <xf numFmtId="3" fontId="7" fillId="9" borderId="97" xfId="2" applyNumberFormat="1" applyFont="1" applyFill="1" applyBorder="1" applyAlignment="1" applyProtection="1">
      <alignment horizontal="center" vertical="center"/>
      <protection hidden="1"/>
    </xf>
    <xf numFmtId="3" fontId="7" fillId="9" borderId="98" xfId="2" applyNumberFormat="1" applyFont="1" applyFill="1" applyBorder="1" applyAlignment="1" applyProtection="1">
      <alignment horizontal="center" vertical="center"/>
      <protection hidden="1"/>
    </xf>
    <xf numFmtId="3" fontId="7" fillId="9" borderId="99" xfId="2" applyNumberFormat="1" applyFont="1" applyFill="1" applyBorder="1" applyAlignment="1" applyProtection="1">
      <alignment horizontal="center" vertical="center"/>
      <protection hidden="1"/>
    </xf>
    <xf numFmtId="4" fontId="3" fillId="6" borderId="100" xfId="0" applyNumberFormat="1" applyFont="1" applyFill="1" applyBorder="1" applyAlignment="1" applyProtection="1">
      <alignment horizontal="center" vertical="center"/>
      <protection hidden="1"/>
    </xf>
    <xf numFmtId="0" fontId="2" fillId="0" borderId="101" xfId="0" applyFont="1" applyFill="1" applyBorder="1" applyAlignment="1" applyProtection="1">
      <alignment horizontal="center" vertical="center"/>
      <protection hidden="1"/>
    </xf>
    <xf numFmtId="0" fontId="4" fillId="5" borderId="102" xfId="0" applyFont="1" applyFill="1" applyBorder="1" applyAlignment="1" applyProtection="1">
      <alignment horizontal="center" vertical="center"/>
      <protection hidden="1"/>
    </xf>
    <xf numFmtId="3" fontId="2" fillId="10" borderId="103" xfId="0" applyNumberFormat="1" applyFont="1" applyFill="1" applyBorder="1" applyAlignment="1" applyProtection="1">
      <alignment horizontal="center" vertical="center"/>
      <protection locked="0" hidden="1"/>
    </xf>
    <xf numFmtId="0" fontId="3" fillId="5" borderId="104" xfId="0" applyFont="1" applyFill="1" applyBorder="1" applyAlignment="1" applyProtection="1">
      <alignment horizontal="center" vertical="center"/>
      <protection hidden="1"/>
    </xf>
    <xf numFmtId="0" fontId="2" fillId="0" borderId="105" xfId="0" applyFont="1" applyFill="1" applyBorder="1" applyAlignment="1" applyProtection="1">
      <alignment horizontal="center" vertical="center"/>
      <protection hidden="1"/>
    </xf>
    <xf numFmtId="0" fontId="2" fillId="0" borderId="59" xfId="0" applyFont="1" applyFill="1" applyBorder="1" applyAlignment="1" applyProtection="1">
      <alignment horizontal="center" vertical="center"/>
      <protection hidden="1"/>
    </xf>
    <xf numFmtId="3" fontId="2" fillId="0" borderId="10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0" fillId="12" borderId="0" xfId="0" applyFill="1" applyBorder="1" applyAlignment="1">
      <alignment horizontal="center"/>
    </xf>
    <xf numFmtId="0" fontId="2" fillId="0" borderId="85" xfId="0" applyFont="1" applyFill="1" applyBorder="1" applyAlignment="1" applyProtection="1">
      <alignment horizontal="center" vertical="center"/>
      <protection locked="0" hidden="1"/>
    </xf>
    <xf numFmtId="0" fontId="2" fillId="0" borderId="107" xfId="0" applyFont="1" applyFill="1" applyBorder="1" applyAlignment="1" applyProtection="1">
      <alignment horizontal="center" vertical="center"/>
      <protection locked="0" hidden="1"/>
    </xf>
    <xf numFmtId="0" fontId="2" fillId="0" borderId="108" xfId="0" applyFont="1" applyFill="1" applyBorder="1" applyAlignment="1" applyProtection="1">
      <alignment horizontal="center" vertical="center"/>
      <protection locked="0" hidden="1"/>
    </xf>
    <xf numFmtId="9" fontId="2" fillId="0" borderId="109" xfId="0" applyNumberFormat="1" applyFont="1" applyFill="1" applyBorder="1" applyAlignment="1" applyProtection="1">
      <alignment horizontal="center" vertical="center"/>
      <protection hidden="1"/>
    </xf>
    <xf numFmtId="9" fontId="2" fillId="13" borderId="110" xfId="0" applyNumberFormat="1" applyFont="1" applyFill="1" applyBorder="1" applyAlignment="1" applyProtection="1">
      <alignment horizontal="center" vertical="center"/>
      <protection hidden="1"/>
    </xf>
    <xf numFmtId="2" fontId="3" fillId="0" borderId="111" xfId="0" applyNumberFormat="1" applyFont="1" applyFill="1" applyBorder="1" applyAlignment="1" applyProtection="1">
      <alignment horizontal="center" vertical="center"/>
      <protection hidden="1"/>
    </xf>
    <xf numFmtId="0" fontId="3" fillId="0" borderId="111" xfId="0" applyFont="1" applyFill="1" applyBorder="1" applyAlignment="1" applyProtection="1">
      <alignment horizontal="center" vertical="center"/>
      <protection hidden="1"/>
    </xf>
    <xf numFmtId="0" fontId="3" fillId="0" borderId="112" xfId="0" applyFont="1" applyFill="1" applyBorder="1" applyAlignment="1" applyProtection="1">
      <alignment horizontal="center" vertical="center"/>
      <protection hidden="1"/>
    </xf>
    <xf numFmtId="3" fontId="3" fillId="0" borderId="60" xfId="0" applyNumberFormat="1" applyFont="1" applyFill="1" applyBorder="1" applyAlignment="1" applyProtection="1">
      <alignment horizontal="center" vertical="center"/>
      <protection hidden="1"/>
    </xf>
    <xf numFmtId="0" fontId="2" fillId="0" borderId="30" xfId="0" applyFont="1" applyFill="1" applyBorder="1" applyAlignment="1" applyProtection="1">
      <alignment horizontal="center" vertical="center"/>
      <protection hidden="1"/>
    </xf>
    <xf numFmtId="9" fontId="2" fillId="14" borderId="113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2" fillId="0" borderId="114" xfId="0" applyFont="1" applyFill="1" applyBorder="1" applyAlignment="1" applyProtection="1">
      <alignment vertical="center"/>
      <protection hidden="1"/>
    </xf>
    <xf numFmtId="0" fontId="4" fillId="0" borderId="115" xfId="0" applyFont="1" applyFill="1" applyBorder="1" applyAlignment="1" applyProtection="1">
      <alignment vertical="center"/>
      <protection hidden="1"/>
    </xf>
    <xf numFmtId="0" fontId="2" fillId="0" borderId="116" xfId="0" applyFont="1" applyFill="1" applyBorder="1" applyAlignment="1" applyProtection="1">
      <alignment horizontal="left" vertical="center"/>
      <protection hidden="1"/>
    </xf>
    <xf numFmtId="0" fontId="4" fillId="0" borderId="80" xfId="0" applyFont="1" applyFill="1" applyBorder="1" applyAlignment="1" applyProtection="1">
      <alignment horizontal="right" vertical="center"/>
      <protection hidden="1"/>
    </xf>
    <xf numFmtId="0" fontId="2" fillId="0" borderId="117" xfId="0" applyFont="1" applyFill="1" applyBorder="1" applyAlignment="1" applyProtection="1">
      <alignment horizontal="left" vertical="center"/>
      <protection hidden="1"/>
    </xf>
    <xf numFmtId="0" fontId="4" fillId="0" borderId="118" xfId="0" applyFont="1" applyFill="1" applyBorder="1" applyAlignment="1" applyProtection="1">
      <alignment horizontal="right" vertical="center"/>
      <protection hidden="1"/>
    </xf>
    <xf numFmtId="0" fontId="2" fillId="0" borderId="119" xfId="0" applyFont="1" applyFill="1" applyBorder="1" applyAlignment="1" applyProtection="1">
      <alignment horizontal="left" vertical="center"/>
      <protection hidden="1"/>
    </xf>
    <xf numFmtId="0" fontId="2" fillId="10" borderId="120" xfId="0" applyFont="1" applyFill="1" applyBorder="1" applyAlignment="1" applyProtection="1">
      <alignment vertical="center"/>
      <protection locked="0" hidden="1"/>
    </xf>
    <xf numFmtId="0" fontId="2" fillId="10" borderId="121" xfId="0" applyFont="1" applyFill="1" applyBorder="1" applyAlignment="1" applyProtection="1">
      <alignment vertical="center"/>
      <protection locked="0" hidden="1"/>
    </xf>
    <xf numFmtId="0" fontId="2" fillId="0" borderId="122" xfId="0" applyFont="1" applyFill="1" applyBorder="1" applyAlignment="1" applyProtection="1">
      <alignment horizontal="center" vertical="center"/>
      <protection hidden="1"/>
    </xf>
    <xf numFmtId="0" fontId="2" fillId="0" borderId="3" xfId="0" quotePrefix="1" applyNumberFormat="1" applyFont="1" applyFill="1" applyBorder="1" applyAlignment="1" applyProtection="1">
      <alignment horizontal="right" vertical="center"/>
      <protection hidden="1"/>
    </xf>
    <xf numFmtId="0" fontId="2" fillId="0" borderId="2" xfId="0" applyNumberFormat="1" applyFont="1" applyFill="1" applyBorder="1" applyAlignment="1" applyProtection="1">
      <alignment horizontal="right" vertical="center"/>
      <protection hidden="1"/>
    </xf>
    <xf numFmtId="0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3" xfId="0" applyNumberFormat="1" applyFont="1" applyFill="1" applyBorder="1" applyAlignment="1" applyProtection="1">
      <alignment horizontal="right" vertical="center"/>
      <protection hidden="1"/>
    </xf>
    <xf numFmtId="0" fontId="2" fillId="0" borderId="5" xfId="0" applyNumberFormat="1" applyFont="1" applyFill="1" applyBorder="1" applyAlignment="1" applyProtection="1">
      <alignment horizontal="right" vertical="center"/>
      <protection hidden="1"/>
    </xf>
    <xf numFmtId="0" fontId="2" fillId="0" borderId="6" xfId="0" applyNumberFormat="1" applyFont="1" applyFill="1" applyBorder="1" applyAlignment="1" applyProtection="1">
      <alignment horizontal="right" vertical="center"/>
      <protection hidden="1"/>
    </xf>
    <xf numFmtId="0" fontId="2" fillId="0" borderId="7" xfId="0" applyNumberFormat="1" applyFont="1" applyFill="1" applyBorder="1" applyAlignment="1" applyProtection="1">
      <alignment horizontal="right"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1" xfId="0" applyFont="1" applyFill="1" applyBorder="1" applyAlignment="1" applyProtection="1">
      <alignment vertical="center"/>
      <protection hidden="1"/>
    </xf>
    <xf numFmtId="1" fontId="14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4" fillId="10" borderId="8" xfId="0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 applyBorder="1" applyAlignment="1" applyProtection="1">
      <alignment horizontal="right" vertical="center"/>
      <protection hidden="1"/>
    </xf>
    <xf numFmtId="0" fontId="14" fillId="10" borderId="9" xfId="0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/>
      <protection locked="0" hidden="1"/>
    </xf>
    <xf numFmtId="0" fontId="14" fillId="10" borderId="1" xfId="0" applyFont="1" applyFill="1" applyBorder="1" applyAlignment="1" applyProtection="1">
      <alignment horizontal="center" vertical="center"/>
      <protection locked="0"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164" fontId="14" fillId="10" borderId="1" xfId="0" applyNumberFormat="1" applyFont="1" applyFill="1" applyBorder="1" applyAlignment="1" applyProtection="1">
      <alignment horizontal="center" vertical="center"/>
      <protection locked="0" hidden="1"/>
    </xf>
    <xf numFmtId="2" fontId="14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165" fontId="14" fillId="0" borderId="1" xfId="0" applyNumberFormat="1" applyFont="1" applyFill="1" applyBorder="1" applyAlignment="1" applyProtection="1">
      <alignment horizontal="center" vertical="center"/>
      <protection hidden="1"/>
    </xf>
    <xf numFmtId="1" fontId="14" fillId="0" borderId="0" xfId="0" applyNumberFormat="1" applyFont="1" applyFill="1" applyBorder="1" applyAlignment="1" applyProtection="1">
      <alignment vertical="center"/>
      <protection hidden="1"/>
    </xf>
    <xf numFmtId="165" fontId="14" fillId="0" borderId="0" xfId="0" applyNumberFormat="1" applyFont="1" applyFill="1" applyBorder="1" applyAlignment="1" applyProtection="1">
      <alignment vertical="center"/>
      <protection hidden="1"/>
    </xf>
    <xf numFmtId="1" fontId="14" fillId="0" borderId="1" xfId="0" applyNumberFormat="1" applyFont="1" applyFill="1" applyBorder="1" applyAlignment="1" applyProtection="1">
      <alignment horizontal="center" vertical="center"/>
      <protection hidden="1"/>
    </xf>
    <xf numFmtId="3" fontId="14" fillId="0" borderId="1" xfId="0" applyNumberFormat="1" applyFont="1" applyFill="1" applyBorder="1" applyAlignment="1" applyProtection="1">
      <alignment horizontal="center" vertical="center"/>
      <protection locked="0" hidden="1"/>
    </xf>
    <xf numFmtId="3" fontId="14" fillId="10" borderId="1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1" xfId="0" applyNumberFormat="1" applyFont="1" applyFill="1" applyBorder="1" applyAlignment="1" applyProtection="1">
      <alignment horizontal="center" vertical="center"/>
      <protection hidden="1"/>
    </xf>
    <xf numFmtId="4" fontId="14" fillId="0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locked="0" hidden="1"/>
    </xf>
    <xf numFmtId="3" fontId="13" fillId="0" borderId="1" xfId="0" applyNumberFormat="1" applyFont="1" applyFill="1" applyBorder="1" applyAlignment="1" applyProtection="1">
      <alignment horizontal="center" vertical="center"/>
      <protection hidden="1"/>
    </xf>
    <xf numFmtId="4" fontId="13" fillId="0" borderId="1" xfId="0" applyNumberFormat="1" applyFont="1" applyFill="1" applyBorder="1" applyAlignment="1" applyProtection="1">
      <alignment horizontal="center" vertical="center"/>
      <protection hidden="1"/>
    </xf>
    <xf numFmtId="3" fontId="14" fillId="0" borderId="0" xfId="0" applyNumberFormat="1" applyFont="1" applyFill="1" applyBorder="1" applyAlignment="1" applyProtection="1">
      <alignment horizontal="center" vertical="center"/>
      <protection hidden="1"/>
    </xf>
    <xf numFmtId="2" fontId="14" fillId="0" borderId="1" xfId="0" applyNumberFormat="1" applyFont="1" applyFill="1" applyBorder="1" applyAlignment="1" applyProtection="1">
      <alignment horizontal="center" vertical="center"/>
      <protection hidden="1"/>
    </xf>
    <xf numFmtId="4" fontId="14" fillId="10" borderId="1" xfId="0" applyNumberFormat="1" applyFont="1" applyFill="1" applyBorder="1" applyAlignment="1" applyProtection="1">
      <alignment horizontal="center" vertical="center"/>
      <protection locked="0" hidden="1"/>
    </xf>
    <xf numFmtId="4" fontId="14" fillId="15" borderId="1" xfId="0" applyNumberFormat="1" applyFont="1" applyFill="1" applyBorder="1" applyAlignment="1" applyProtection="1">
      <alignment horizontal="center" vertical="center"/>
      <protection hidden="1"/>
    </xf>
    <xf numFmtId="167" fontId="13" fillId="0" borderId="1" xfId="2" applyNumberFormat="1" applyFont="1" applyFill="1" applyBorder="1" applyAlignment="1" applyProtection="1">
      <alignment horizontal="center" vertical="center"/>
      <protection hidden="1"/>
    </xf>
    <xf numFmtId="10" fontId="13" fillId="0" borderId="0" xfId="2" applyNumberFormat="1" applyFont="1" applyFill="1" applyBorder="1" applyAlignment="1" applyProtection="1">
      <alignment horizontal="center" vertical="center"/>
      <protection hidden="1"/>
    </xf>
    <xf numFmtId="3" fontId="14" fillId="0" borderId="0" xfId="0" applyNumberFormat="1" applyFont="1" applyFill="1" applyBorder="1" applyAlignment="1" applyProtection="1">
      <alignment vertical="center"/>
      <protection hidden="1"/>
    </xf>
    <xf numFmtId="166" fontId="13" fillId="0" borderId="1" xfId="0" applyNumberFormat="1" applyFont="1" applyFill="1" applyBorder="1" applyAlignment="1" applyProtection="1">
      <alignment horizontal="center" vertical="center"/>
      <protection hidden="1"/>
    </xf>
    <xf numFmtId="2" fontId="13" fillId="0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9" fontId="13" fillId="0" borderId="1" xfId="0" applyNumberFormat="1" applyFont="1" applyFill="1" applyBorder="1" applyAlignment="1" applyProtection="1">
      <alignment horizontal="center" vertical="center"/>
      <protection hidden="1"/>
    </xf>
    <xf numFmtId="9" fontId="13" fillId="16" borderId="10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1" fontId="14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11" xfId="0" applyFont="1" applyFill="1" applyBorder="1" applyAlignment="1" applyProtection="1">
      <alignment vertical="center"/>
      <protection hidden="1"/>
    </xf>
    <xf numFmtId="0" fontId="14" fillId="0" borderId="10" xfId="0" applyFont="1" applyFill="1" applyBorder="1" applyAlignment="1" applyProtection="1">
      <alignment vertical="center"/>
      <protection hidden="1"/>
    </xf>
    <xf numFmtId="9" fontId="13" fillId="16" borderId="1" xfId="2" applyNumberFormat="1" applyFont="1" applyFill="1" applyBorder="1" applyAlignment="1" applyProtection="1">
      <alignment horizontal="center" vertical="center"/>
      <protection hidden="1"/>
    </xf>
    <xf numFmtId="9" fontId="13" fillId="16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1" fontId="1" fillId="0" borderId="0" xfId="0" applyNumberFormat="1" applyFont="1"/>
    <xf numFmtId="2" fontId="0" fillId="0" borderId="0" xfId="0" applyNumberFormat="1" applyAlignment="1">
      <alignment horizontal="right"/>
    </xf>
    <xf numFmtId="167" fontId="13" fillId="18" borderId="1" xfId="2" applyNumberFormat="1" applyFont="1" applyFill="1" applyBorder="1" applyAlignment="1" applyProtection="1">
      <alignment horizontal="center" vertical="center"/>
      <protection hidden="1"/>
    </xf>
    <xf numFmtId="2" fontId="13" fillId="19" borderId="1" xfId="0" applyNumberFormat="1" applyFont="1" applyFill="1" applyBorder="1" applyAlignment="1" applyProtection="1">
      <alignment horizontal="center" vertical="center"/>
      <protection locked="0" hidden="1"/>
    </xf>
    <xf numFmtId="0" fontId="14" fillId="10" borderId="1" xfId="0" applyFont="1" applyFill="1" applyBorder="1" applyAlignment="1" applyProtection="1">
      <alignment horizontal="center" vertical="center"/>
      <protection locked="0" hidden="1"/>
    </xf>
    <xf numFmtId="0" fontId="14" fillId="10" borderId="1" xfId="0" applyFont="1" applyFill="1" applyBorder="1" applyAlignment="1" applyProtection="1">
      <alignment horizontal="center" vertical="center"/>
      <protection locked="0" hidden="1"/>
    </xf>
    <xf numFmtId="0" fontId="14" fillId="0" borderId="12" xfId="0" applyFont="1" applyFill="1" applyBorder="1" applyAlignment="1" applyProtection="1">
      <alignment horizontal="center" vertical="center"/>
      <protection hidden="1"/>
    </xf>
    <xf numFmtId="0" fontId="14" fillId="0" borderId="14" xfId="0" applyFont="1" applyFill="1" applyBorder="1" applyAlignment="1" applyProtection="1">
      <alignment horizontal="center" vertical="center"/>
      <protection hidden="1"/>
    </xf>
    <xf numFmtId="4" fontId="14" fillId="10" borderId="12" xfId="0" applyNumberFormat="1" applyFont="1" applyFill="1" applyBorder="1" applyAlignment="1" applyProtection="1">
      <alignment horizontal="center" vertical="center"/>
      <protection locked="0" hidden="1"/>
    </xf>
    <xf numFmtId="4" fontId="14" fillId="10" borderId="14" xfId="0" applyNumberFormat="1" applyFont="1" applyFill="1" applyBorder="1" applyAlignment="1" applyProtection="1">
      <alignment horizontal="center" vertical="center"/>
      <protection locked="0" hidden="1"/>
    </xf>
    <xf numFmtId="2" fontId="13" fillId="0" borderId="12" xfId="0" applyNumberFormat="1" applyFont="1" applyFill="1" applyBorder="1" applyAlignment="1" applyProtection="1">
      <alignment horizontal="center" vertical="center"/>
      <protection hidden="1"/>
    </xf>
    <xf numFmtId="2" fontId="13" fillId="0" borderId="14" xfId="0" applyNumberFormat="1" applyFont="1" applyFill="1" applyBorder="1" applyAlignment="1" applyProtection="1">
      <alignment horizontal="center" vertical="center"/>
      <protection hidden="1"/>
    </xf>
    <xf numFmtId="0" fontId="14" fillId="0" borderId="15" xfId="0" applyFont="1" applyFill="1" applyBorder="1" applyAlignment="1" applyProtection="1">
      <alignment horizontal="center" vertical="center"/>
      <protection hidden="1"/>
    </xf>
    <xf numFmtId="0" fontId="14" fillId="0" borderId="16" xfId="0" applyFont="1" applyFill="1" applyBorder="1" applyAlignment="1" applyProtection="1">
      <alignment horizontal="center" vertical="center"/>
      <protection hidden="1"/>
    </xf>
    <xf numFmtId="0" fontId="14" fillId="0" borderId="17" xfId="0" applyFont="1" applyFill="1" applyBorder="1" applyAlignment="1" applyProtection="1">
      <alignment horizontal="center" vertical="center"/>
      <protection hidden="1"/>
    </xf>
    <xf numFmtId="0" fontId="14" fillId="0" borderId="19" xfId="0" applyFont="1" applyFill="1" applyBorder="1" applyAlignment="1" applyProtection="1">
      <alignment horizontal="center" vertical="center"/>
      <protection hidden="1"/>
    </xf>
    <xf numFmtId="0" fontId="14" fillId="0" borderId="20" xfId="0" applyFont="1" applyFill="1" applyBorder="1" applyAlignment="1" applyProtection="1">
      <alignment horizontal="center" vertical="center"/>
      <protection hidden="1"/>
    </xf>
    <xf numFmtId="0" fontId="14" fillId="0" borderId="21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left" vertical="center"/>
      <protection hidden="1"/>
    </xf>
    <xf numFmtId="0" fontId="14" fillId="10" borderId="1" xfId="0" applyFont="1" applyFill="1" applyBorder="1" applyAlignment="1" applyProtection="1">
      <alignment horizontal="center" vertical="center"/>
      <protection locked="0" hidden="1"/>
    </xf>
    <xf numFmtId="0" fontId="13" fillId="19" borderId="12" xfId="0" applyFont="1" applyFill="1" applyBorder="1" applyAlignment="1" applyProtection="1">
      <alignment horizontal="center" vertical="center"/>
      <protection locked="0" hidden="1"/>
    </xf>
    <xf numFmtId="0" fontId="13" fillId="19" borderId="13" xfId="0" applyFont="1" applyFill="1" applyBorder="1" applyAlignment="1" applyProtection="1">
      <alignment horizontal="center" vertical="center"/>
      <protection locked="0" hidden="1"/>
    </xf>
    <xf numFmtId="0" fontId="13" fillId="19" borderId="14" xfId="0" applyFont="1" applyFill="1" applyBorder="1" applyAlignment="1" applyProtection="1">
      <alignment horizontal="center" vertical="center"/>
      <protection locked="0"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center" vertical="center"/>
      <protection hidden="1"/>
    </xf>
    <xf numFmtId="0" fontId="13" fillId="0" borderId="13" xfId="0" applyFont="1" applyFill="1" applyBorder="1" applyAlignment="1" applyProtection="1">
      <alignment horizontal="center" vertical="center"/>
      <protection hidden="1"/>
    </xf>
    <xf numFmtId="0" fontId="13" fillId="0" borderId="14" xfId="0" applyFont="1" applyFill="1" applyBorder="1" applyAlignment="1" applyProtection="1">
      <alignment horizontal="center" vertical="center"/>
      <protection hidden="1"/>
    </xf>
    <xf numFmtId="0" fontId="13" fillId="16" borderId="1" xfId="0" applyFont="1" applyFill="1" applyBorder="1" applyAlignment="1" applyProtection="1">
      <alignment horizontal="center" vertical="center"/>
      <protection hidden="1"/>
    </xf>
    <xf numFmtId="0" fontId="14" fillId="15" borderId="1" xfId="0" applyFont="1" applyFill="1" applyBorder="1" applyAlignment="1" applyProtection="1">
      <alignment horizontal="center" vertical="center"/>
      <protection hidden="1"/>
    </xf>
    <xf numFmtId="2" fontId="14" fillId="15" borderId="19" xfId="0" applyNumberFormat="1" applyFont="1" applyFill="1" applyBorder="1" applyAlignment="1" applyProtection="1">
      <alignment horizontal="center" vertical="center" wrapText="1"/>
      <protection hidden="1"/>
    </xf>
    <xf numFmtId="2" fontId="14" fillId="15" borderId="2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9" xfId="0" quotePrefix="1" applyFont="1" applyFill="1" applyBorder="1" applyAlignment="1" applyProtection="1">
      <alignment horizontal="center" vertical="center" wrapText="1"/>
      <protection hidden="1"/>
    </xf>
    <xf numFmtId="0" fontId="14" fillId="0" borderId="11" xfId="0" quotePrefix="1" applyFont="1" applyFill="1" applyBorder="1" applyAlignment="1" applyProtection="1">
      <alignment horizontal="center" vertical="center" wrapText="1"/>
      <protection hidden="1"/>
    </xf>
    <xf numFmtId="0" fontId="14" fillId="0" borderId="10" xfId="0" quotePrefix="1" applyFont="1" applyFill="1" applyBorder="1" applyAlignment="1" applyProtection="1">
      <alignment horizontal="center" vertical="center" wrapText="1"/>
      <protection hidden="1"/>
    </xf>
    <xf numFmtId="0" fontId="14" fillId="0" borderId="9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4" fillId="0" borderId="11" xfId="0" applyFont="1" applyFill="1" applyBorder="1" applyAlignment="1" applyProtection="1">
      <alignment horizontal="center" vertical="center" wrapText="1"/>
      <protection hidden="1"/>
    </xf>
    <xf numFmtId="0" fontId="14" fillId="0" borderId="10" xfId="0" applyFont="1" applyFill="1" applyBorder="1" applyAlignment="1" applyProtection="1">
      <alignment horizontal="center" vertical="center" wrapText="1"/>
      <protection hidden="1"/>
    </xf>
    <xf numFmtId="0" fontId="14" fillId="15" borderId="1" xfId="0" applyFont="1" applyFill="1" applyBorder="1" applyAlignment="1" applyProtection="1">
      <alignment horizontal="center" vertical="center" wrapText="1"/>
      <protection hidden="1"/>
    </xf>
    <xf numFmtId="3" fontId="14" fillId="0" borderId="1" xfId="0" applyNumberFormat="1" applyFont="1" applyFill="1" applyBorder="1" applyAlignment="1" applyProtection="1">
      <alignment horizontal="center" vertical="center"/>
      <protection hidden="1"/>
    </xf>
    <xf numFmtId="0" fontId="13" fillId="19" borderId="15" xfId="0" applyFont="1" applyFill="1" applyBorder="1" applyAlignment="1" applyProtection="1">
      <alignment horizontal="center" vertical="center" wrapText="1"/>
      <protection hidden="1"/>
    </xf>
    <xf numFmtId="0" fontId="13" fillId="19" borderId="16" xfId="0" applyFont="1" applyFill="1" applyBorder="1" applyAlignment="1" applyProtection="1">
      <alignment horizontal="center" vertical="center" wrapText="1"/>
      <protection hidden="1"/>
    </xf>
    <xf numFmtId="0" fontId="13" fillId="19" borderId="17" xfId="0" applyFont="1" applyFill="1" applyBorder="1" applyAlignment="1" applyProtection="1">
      <alignment horizontal="center" vertical="center" wrapText="1"/>
      <protection hidden="1"/>
    </xf>
    <xf numFmtId="0" fontId="13" fillId="19" borderId="19" xfId="0" applyFont="1" applyFill="1" applyBorder="1" applyAlignment="1" applyProtection="1">
      <alignment horizontal="center" vertical="center" wrapText="1"/>
      <protection hidden="1"/>
    </xf>
    <xf numFmtId="0" fontId="13" fillId="19" borderId="20" xfId="0" applyFont="1" applyFill="1" applyBorder="1" applyAlignment="1" applyProtection="1">
      <alignment horizontal="center" vertical="center" wrapText="1"/>
      <protection hidden="1"/>
    </xf>
    <xf numFmtId="0" fontId="13" fillId="19" borderId="21" xfId="0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Fill="1" applyBorder="1" applyAlignment="1" applyProtection="1">
      <alignment horizontal="center" vertical="center"/>
      <protection hidden="1"/>
    </xf>
    <xf numFmtId="1" fontId="14" fillId="0" borderId="9" xfId="0" applyNumberFormat="1" applyFont="1" applyFill="1" applyBorder="1" applyAlignment="1" applyProtection="1">
      <alignment horizontal="center" vertical="center"/>
      <protection hidden="1"/>
    </xf>
    <xf numFmtId="1" fontId="14" fillId="0" borderId="11" xfId="0" applyNumberFormat="1" applyFont="1" applyFill="1" applyBorder="1" applyAlignment="1" applyProtection="1">
      <alignment horizontal="center" vertical="center"/>
      <protection hidden="1"/>
    </xf>
    <xf numFmtId="1" fontId="14" fillId="0" borderId="10" xfId="0" applyNumberFormat="1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3" fillId="16" borderId="9" xfId="0" applyFont="1" applyFill="1" applyBorder="1" applyAlignment="1" applyProtection="1">
      <alignment horizontal="center" vertical="center" wrapText="1"/>
      <protection hidden="1"/>
    </xf>
    <xf numFmtId="0" fontId="13" fillId="16" borderId="10" xfId="0" applyFont="1" applyFill="1" applyBorder="1" applyAlignment="1" applyProtection="1">
      <alignment horizontal="center" vertical="center"/>
      <protection hidden="1"/>
    </xf>
    <xf numFmtId="0" fontId="14" fillId="15" borderId="12" xfId="0" applyFont="1" applyFill="1" applyBorder="1" applyAlignment="1" applyProtection="1">
      <alignment horizontal="center" vertical="center" wrapText="1"/>
      <protection hidden="1"/>
    </xf>
    <xf numFmtId="0" fontId="14" fillId="15" borderId="14" xfId="0" applyFont="1" applyFill="1" applyBorder="1" applyAlignment="1" applyProtection="1">
      <alignment horizontal="center" vertical="center" wrapText="1"/>
      <protection hidden="1"/>
    </xf>
    <xf numFmtId="0" fontId="14" fillId="0" borderId="15" xfId="0" applyFont="1" applyFill="1" applyBorder="1" applyAlignment="1" applyProtection="1">
      <alignment horizontal="center" vertical="center" wrapText="1"/>
      <protection hidden="1"/>
    </xf>
    <xf numFmtId="0" fontId="14" fillId="0" borderId="16" xfId="0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4" fillId="0" borderId="20" xfId="0" applyFont="1" applyFill="1" applyBorder="1" applyAlignment="1" applyProtection="1">
      <alignment horizontal="center" vertical="center" wrapText="1"/>
      <protection hidden="1"/>
    </xf>
    <xf numFmtId="0" fontId="14" fillId="0" borderId="21" xfId="0" applyFont="1" applyFill="1" applyBorder="1" applyAlignment="1" applyProtection="1">
      <alignment horizontal="center" vertical="center" wrapText="1"/>
      <protection hidden="1"/>
    </xf>
    <xf numFmtId="3" fontId="14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Fill="1" applyBorder="1" applyAlignment="1" applyProtection="1">
      <alignment horizontal="center" vertical="center"/>
      <protection hidden="1"/>
    </xf>
    <xf numFmtId="3" fontId="14" fillId="0" borderId="10" xfId="0" applyNumberFormat="1" applyFont="1" applyFill="1" applyBorder="1" applyAlignment="1" applyProtection="1">
      <alignment horizontal="center" vertical="center"/>
      <protection hidden="1"/>
    </xf>
    <xf numFmtId="1" fontId="14" fillId="10" borderId="9" xfId="0" applyNumberFormat="1" applyFont="1" applyFill="1" applyBorder="1" applyAlignment="1" applyProtection="1">
      <alignment horizontal="center" vertical="center"/>
      <protection hidden="1"/>
    </xf>
    <xf numFmtId="1" fontId="14" fillId="10" borderId="11" xfId="0" applyNumberFormat="1" applyFont="1" applyFill="1" applyBorder="1" applyAlignment="1" applyProtection="1">
      <alignment horizontal="center" vertical="center"/>
      <protection hidden="1"/>
    </xf>
    <xf numFmtId="1" fontId="14" fillId="10" borderId="10" xfId="0" applyNumberFormat="1" applyFont="1" applyFill="1" applyBorder="1" applyAlignment="1" applyProtection="1">
      <alignment horizontal="center" vertical="center"/>
      <protection hidden="1"/>
    </xf>
    <xf numFmtId="3" fontId="14" fillId="10" borderId="9" xfId="0" applyNumberFormat="1" applyFont="1" applyFill="1" applyBorder="1" applyAlignment="1" applyProtection="1">
      <alignment horizontal="center" vertical="center"/>
      <protection locked="0" hidden="1"/>
    </xf>
    <xf numFmtId="3" fontId="14" fillId="10" borderId="11" xfId="0" applyNumberFormat="1" applyFont="1" applyFill="1" applyBorder="1" applyAlignment="1" applyProtection="1">
      <alignment horizontal="center" vertical="center"/>
      <protection locked="0" hidden="1"/>
    </xf>
    <xf numFmtId="3" fontId="14" fillId="10" borderId="1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22" xfId="0" applyFont="1" applyFill="1" applyBorder="1" applyAlignment="1" applyProtection="1">
      <alignment horizontal="center" vertic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10" borderId="37" xfId="0" applyFont="1" applyFill="1" applyBorder="1" applyAlignment="1" applyProtection="1">
      <alignment horizontal="center" vertical="center"/>
      <protection locked="0" hidden="1"/>
    </xf>
    <xf numFmtId="0" fontId="2" fillId="10" borderId="53" xfId="0" applyFont="1" applyFill="1" applyBorder="1" applyAlignment="1" applyProtection="1">
      <alignment horizontal="center" vertical="center"/>
      <protection locked="0" hidden="1"/>
    </xf>
    <xf numFmtId="3" fontId="2" fillId="10" borderId="0" xfId="0" applyNumberFormat="1" applyFont="1" applyFill="1" applyBorder="1" applyAlignment="1" applyProtection="1">
      <alignment horizontal="center" vertical="center"/>
      <protection locked="0" hidden="1"/>
    </xf>
    <xf numFmtId="3" fontId="2" fillId="10" borderId="157" xfId="0" applyNumberFormat="1" applyFont="1" applyFill="1" applyBorder="1" applyAlignment="1" applyProtection="1">
      <alignment horizontal="center" vertical="center"/>
      <protection locked="0" hidden="1"/>
    </xf>
    <xf numFmtId="0" fontId="4" fillId="5" borderId="154" xfId="0" applyFont="1" applyFill="1" applyBorder="1" applyAlignment="1" applyProtection="1">
      <alignment horizontal="center" vertical="center"/>
      <protection hidden="1"/>
    </xf>
    <xf numFmtId="0" fontId="4" fillId="5" borderId="155" xfId="0" applyFont="1" applyFill="1" applyBorder="1" applyAlignment="1" applyProtection="1">
      <alignment horizontal="center" vertical="center"/>
      <protection hidden="1"/>
    </xf>
    <xf numFmtId="3" fontId="2" fillId="10" borderId="103" xfId="0" applyNumberFormat="1" applyFont="1" applyFill="1" applyBorder="1" applyAlignment="1" applyProtection="1">
      <alignment horizontal="center" vertical="center"/>
      <protection locked="0" hidden="1"/>
    </xf>
    <xf numFmtId="3" fontId="2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2" fillId="0" borderId="156" xfId="0" applyNumberFormat="1" applyFont="1" applyFill="1" applyBorder="1" applyAlignment="1" applyProtection="1">
      <alignment horizontal="center" vertical="center"/>
      <protection hidden="1"/>
    </xf>
    <xf numFmtId="3" fontId="2" fillId="0" borderId="157" xfId="0" applyNumberFormat="1" applyFont="1" applyFill="1" applyBorder="1" applyAlignment="1" applyProtection="1">
      <alignment horizontal="center" vertical="center"/>
      <protection hidden="1"/>
    </xf>
    <xf numFmtId="3" fontId="2" fillId="10" borderId="44" xfId="0" applyNumberFormat="1" applyFont="1" applyFill="1" applyBorder="1" applyAlignment="1" applyProtection="1">
      <alignment horizontal="center" vertical="center"/>
      <protection locked="0" hidden="1"/>
    </xf>
    <xf numFmtId="3" fontId="2" fillId="0" borderId="167" xfId="0" applyNumberFormat="1" applyFont="1" applyFill="1" applyBorder="1" applyAlignment="1" applyProtection="1">
      <alignment horizontal="center" vertical="center"/>
      <protection hidden="1"/>
    </xf>
    <xf numFmtId="3" fontId="2" fillId="0" borderId="168" xfId="0" applyNumberFormat="1" applyFont="1" applyFill="1" applyBorder="1" applyAlignment="1" applyProtection="1">
      <alignment horizontal="center" vertical="center"/>
      <protection hidden="1"/>
    </xf>
    <xf numFmtId="3" fontId="2" fillId="0" borderId="169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7" fillId="5" borderId="140" xfId="0" applyFont="1" applyFill="1" applyBorder="1" applyAlignment="1" applyProtection="1">
      <alignment horizontal="center" vertical="center"/>
      <protection hidden="1"/>
    </xf>
    <xf numFmtId="0" fontId="7" fillId="5" borderId="141" xfId="0" applyFont="1" applyFill="1" applyBorder="1" applyAlignment="1" applyProtection="1">
      <alignment horizontal="center" vertical="center"/>
      <protection hidden="1"/>
    </xf>
    <xf numFmtId="0" fontId="7" fillId="5" borderId="142" xfId="0" applyFont="1" applyFill="1" applyBorder="1" applyAlignment="1" applyProtection="1">
      <alignment horizontal="center" vertical="center"/>
      <protection hidden="1"/>
    </xf>
    <xf numFmtId="0" fontId="7" fillId="5" borderId="143" xfId="0" applyFont="1" applyFill="1" applyBorder="1" applyAlignment="1" applyProtection="1">
      <alignment horizontal="center" vertical="center"/>
      <protection hidden="1"/>
    </xf>
    <xf numFmtId="0" fontId="7" fillId="5" borderId="144" xfId="0" applyFont="1" applyFill="1" applyBorder="1" applyAlignment="1" applyProtection="1">
      <alignment horizontal="center" vertical="center"/>
      <protection hidden="1"/>
    </xf>
    <xf numFmtId="0" fontId="7" fillId="5" borderId="145" xfId="0" applyFont="1" applyFill="1" applyBorder="1" applyAlignment="1" applyProtection="1">
      <alignment horizontal="center" vertical="center"/>
      <protection hidden="1"/>
    </xf>
    <xf numFmtId="0" fontId="2" fillId="0" borderId="146" xfId="0" applyFont="1" applyFill="1" applyBorder="1" applyAlignment="1" applyProtection="1">
      <alignment horizontal="left" vertical="center"/>
      <protection hidden="1"/>
    </xf>
    <xf numFmtId="0" fontId="2" fillId="0" borderId="147" xfId="0" applyFont="1" applyFill="1" applyBorder="1" applyAlignment="1" applyProtection="1">
      <alignment horizontal="left" vertical="center"/>
      <protection hidden="1"/>
    </xf>
    <xf numFmtId="0" fontId="2" fillId="0" borderId="148" xfId="0" applyFont="1" applyFill="1" applyBorder="1" applyAlignment="1" applyProtection="1">
      <alignment horizontal="left" vertical="center"/>
      <protection hidden="1"/>
    </xf>
    <xf numFmtId="0" fontId="4" fillId="0" borderId="149" xfId="0" applyFont="1" applyFill="1" applyBorder="1" applyAlignment="1" applyProtection="1">
      <alignment horizontal="left" vertical="center"/>
      <protection hidden="1"/>
    </xf>
    <xf numFmtId="0" fontId="4" fillId="0" borderId="150" xfId="0" applyFont="1" applyFill="1" applyBorder="1" applyAlignment="1" applyProtection="1">
      <alignment horizontal="left" vertical="center"/>
      <protection hidden="1"/>
    </xf>
    <xf numFmtId="0" fontId="3" fillId="7" borderId="124" xfId="0" applyFont="1" applyFill="1" applyBorder="1" applyAlignment="1" applyProtection="1">
      <alignment horizontal="center" vertical="center"/>
      <protection hidden="1"/>
    </xf>
    <xf numFmtId="0" fontId="3" fillId="7" borderId="51" xfId="0" applyFont="1" applyFill="1" applyBorder="1" applyAlignment="1" applyProtection="1">
      <alignment horizontal="center" vertical="center"/>
      <protection hidden="1"/>
    </xf>
    <xf numFmtId="0" fontId="2" fillId="0" borderId="125" xfId="0" applyFont="1" applyFill="1" applyBorder="1" applyAlignment="1" applyProtection="1">
      <alignment horizontal="left" vertical="center"/>
      <protection hidden="1"/>
    </xf>
    <xf numFmtId="0" fontId="4" fillId="0" borderId="126" xfId="0" applyFont="1" applyFill="1" applyBorder="1" applyAlignment="1" applyProtection="1">
      <alignment horizontal="left" vertical="center"/>
      <protection hidden="1"/>
    </xf>
    <xf numFmtId="0" fontId="12" fillId="12" borderId="94" xfId="0" applyFont="1" applyFill="1" applyBorder="1" applyAlignment="1" applyProtection="1">
      <alignment horizontal="left" vertical="center"/>
      <protection hidden="1"/>
    </xf>
    <xf numFmtId="0" fontId="12" fillId="12" borderId="127" xfId="0" applyFont="1" applyFill="1" applyBorder="1" applyAlignment="1" applyProtection="1">
      <alignment horizontal="left" vertical="center"/>
      <protection hidden="1"/>
    </xf>
    <xf numFmtId="0" fontId="12" fillId="12" borderId="128" xfId="0" applyFont="1" applyFill="1" applyBorder="1" applyAlignment="1" applyProtection="1">
      <alignment horizontal="left" vertical="center"/>
      <protection hidden="1"/>
    </xf>
    <xf numFmtId="0" fontId="12" fillId="12" borderId="129" xfId="0" applyFont="1" applyFill="1" applyBorder="1" applyAlignment="1" applyProtection="1">
      <alignment horizontal="left" vertical="center"/>
      <protection hidden="1"/>
    </xf>
    <xf numFmtId="0" fontId="4" fillId="6" borderId="130" xfId="0" applyFont="1" applyFill="1" applyBorder="1" applyAlignment="1" applyProtection="1">
      <alignment horizontal="center" vertical="center"/>
      <protection hidden="1"/>
    </xf>
    <xf numFmtId="0" fontId="4" fillId="6" borderId="131" xfId="0" applyFont="1" applyFill="1" applyBorder="1" applyAlignment="1" applyProtection="1">
      <alignment horizontal="center" vertical="center"/>
      <protection hidden="1"/>
    </xf>
    <xf numFmtId="0" fontId="4" fillId="10" borderId="132" xfId="0" applyFont="1" applyFill="1" applyBorder="1" applyAlignment="1" applyProtection="1">
      <alignment horizontal="center" vertical="center"/>
      <protection hidden="1"/>
    </xf>
    <xf numFmtId="0" fontId="4" fillId="10" borderId="133" xfId="0" applyFont="1" applyFill="1" applyBorder="1" applyAlignment="1" applyProtection="1">
      <alignment horizontal="center" vertical="center"/>
      <protection hidden="1"/>
    </xf>
    <xf numFmtId="0" fontId="2" fillId="5" borderId="134" xfId="0" applyFont="1" applyFill="1" applyBorder="1" applyAlignment="1" applyProtection="1">
      <alignment horizontal="center" vertical="center" wrapText="1"/>
      <protection hidden="1"/>
    </xf>
    <xf numFmtId="0" fontId="2" fillId="5" borderId="135" xfId="0" applyFont="1" applyFill="1" applyBorder="1" applyAlignment="1" applyProtection="1">
      <alignment horizontal="center" vertical="center" wrapText="1"/>
      <protection hidden="1"/>
    </xf>
    <xf numFmtId="0" fontId="2" fillId="10" borderId="136" xfId="0" applyFont="1" applyFill="1" applyBorder="1" applyAlignment="1" applyProtection="1">
      <alignment horizontal="center" vertical="center"/>
      <protection locked="0" hidden="1"/>
    </xf>
    <xf numFmtId="0" fontId="2" fillId="10" borderId="137" xfId="0" applyFont="1" applyFill="1" applyBorder="1" applyAlignment="1" applyProtection="1">
      <alignment horizontal="center" vertical="center"/>
      <protection locked="0" hidden="1"/>
    </xf>
    <xf numFmtId="0" fontId="2" fillId="0" borderId="151" xfId="0" applyFont="1" applyFill="1" applyBorder="1" applyAlignment="1" applyProtection="1">
      <alignment horizontal="left" vertical="center"/>
      <protection hidden="1"/>
    </xf>
    <xf numFmtId="0" fontId="2" fillId="0" borderId="152" xfId="0" applyFont="1" applyFill="1" applyBorder="1" applyAlignment="1" applyProtection="1">
      <alignment horizontal="left" vertical="center"/>
      <protection hidden="1"/>
    </xf>
    <xf numFmtId="0" fontId="2" fillId="0" borderId="153" xfId="0" applyFont="1" applyFill="1" applyBorder="1" applyAlignment="1" applyProtection="1">
      <alignment horizontal="left" vertical="center"/>
      <protection hidden="1"/>
    </xf>
    <xf numFmtId="0" fontId="2" fillId="10" borderId="138" xfId="0" applyFont="1" applyFill="1" applyBorder="1" applyAlignment="1" applyProtection="1">
      <alignment horizontal="center" vertical="center"/>
      <protection locked="0" hidden="1"/>
    </xf>
    <xf numFmtId="0" fontId="2" fillId="10" borderId="139" xfId="0" applyFont="1" applyFill="1" applyBorder="1" applyAlignment="1" applyProtection="1">
      <alignment horizontal="center" vertical="center"/>
      <protection locked="0" hidden="1"/>
    </xf>
    <xf numFmtId="0" fontId="4" fillId="0" borderId="123" xfId="0" applyFont="1" applyFill="1" applyBorder="1" applyAlignment="1" applyProtection="1">
      <alignment horizontal="left" vertical="center"/>
      <protection hidden="1"/>
    </xf>
    <xf numFmtId="0" fontId="4" fillId="0" borderId="30" xfId="0" applyFont="1" applyFill="1" applyBorder="1" applyAlignment="1" applyProtection="1">
      <alignment horizontal="left" vertical="center"/>
      <protection hidden="1"/>
    </xf>
    <xf numFmtId="0" fontId="2" fillId="5" borderId="37" xfId="0" applyFont="1" applyFill="1" applyBorder="1" applyAlignment="1" applyProtection="1">
      <alignment horizontal="center" vertical="center"/>
      <protection hidden="1"/>
    </xf>
    <xf numFmtId="0" fontId="2" fillId="5" borderId="102" xfId="0" applyFont="1" applyFill="1" applyBorder="1" applyAlignment="1" applyProtection="1">
      <alignment horizontal="center" vertical="center"/>
      <protection hidden="1"/>
    </xf>
    <xf numFmtId="0" fontId="4" fillId="0" borderId="132" xfId="0" applyFont="1" applyFill="1" applyBorder="1" applyAlignment="1" applyProtection="1">
      <alignment horizontal="center" vertical="center"/>
      <protection hidden="1"/>
    </xf>
    <xf numFmtId="0" fontId="4" fillId="0" borderId="133" xfId="0" applyFont="1" applyFill="1" applyBorder="1" applyAlignment="1" applyProtection="1">
      <alignment horizontal="center" vertical="center"/>
      <protection hidden="1"/>
    </xf>
    <xf numFmtId="0" fontId="4" fillId="0" borderId="187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/>
      <protection hidden="1"/>
    </xf>
    <xf numFmtId="0" fontId="4" fillId="0" borderId="115" xfId="0" applyFont="1" applyFill="1" applyBorder="1" applyAlignment="1" applyProtection="1">
      <alignment horizontal="center" vertical="center"/>
      <protection hidden="1"/>
    </xf>
    <xf numFmtId="0" fontId="2" fillId="10" borderId="118" xfId="0" applyFont="1" applyFill="1" applyBorder="1" applyAlignment="1" applyProtection="1">
      <alignment horizontal="center" vertical="center"/>
      <protection locked="0" hidden="1"/>
    </xf>
    <xf numFmtId="0" fontId="2" fillId="12" borderId="85" xfId="0" applyFont="1" applyFill="1" applyBorder="1" applyAlignment="1" applyProtection="1">
      <alignment horizontal="center" vertical="center"/>
      <protection hidden="1"/>
    </xf>
    <xf numFmtId="0" fontId="4" fillId="0" borderId="182" xfId="0" applyFont="1" applyFill="1" applyBorder="1" applyAlignment="1" applyProtection="1">
      <alignment horizontal="center" vertical="center" wrapText="1"/>
      <protection hidden="1"/>
    </xf>
    <xf numFmtId="0" fontId="4" fillId="0" borderId="183" xfId="0" applyFont="1" applyFill="1" applyBorder="1" applyAlignment="1" applyProtection="1">
      <alignment horizontal="center" vertical="center"/>
      <protection hidden="1"/>
    </xf>
    <xf numFmtId="0" fontId="4" fillId="0" borderId="184" xfId="0" applyFont="1" applyFill="1" applyBorder="1" applyAlignment="1" applyProtection="1">
      <alignment horizontal="center" vertical="center"/>
      <protection hidden="1"/>
    </xf>
    <xf numFmtId="0" fontId="4" fillId="0" borderId="107" xfId="0" applyFont="1" applyFill="1" applyBorder="1" applyAlignment="1" applyProtection="1">
      <alignment horizontal="center" vertical="center"/>
      <protection hidden="1"/>
    </xf>
    <xf numFmtId="0" fontId="4" fillId="0" borderId="108" xfId="0" applyFont="1" applyFill="1" applyBorder="1" applyAlignment="1" applyProtection="1">
      <alignment horizontal="center" vertical="center"/>
      <protection hidden="1"/>
    </xf>
    <xf numFmtId="0" fontId="2" fillId="0" borderId="185" xfId="0" applyFont="1" applyFill="1" applyBorder="1" applyAlignment="1" applyProtection="1">
      <alignment horizontal="center" vertical="center" wrapText="1"/>
      <protection hidden="1"/>
    </xf>
    <xf numFmtId="0" fontId="4" fillId="0" borderId="186" xfId="0" applyFont="1" applyFill="1" applyBorder="1" applyAlignment="1" applyProtection="1">
      <alignment horizontal="center" vertical="center"/>
      <protection hidden="1"/>
    </xf>
    <xf numFmtId="0" fontId="2" fillId="0" borderId="75" xfId="0" applyFont="1" applyFill="1" applyBorder="1" applyAlignment="1" applyProtection="1">
      <alignment horizontal="center" vertical="center" wrapText="1"/>
      <protection hidden="1"/>
    </xf>
    <xf numFmtId="0" fontId="4" fillId="0" borderId="75" xfId="0" applyFont="1" applyFill="1" applyBorder="1" applyAlignment="1" applyProtection="1">
      <alignment horizontal="center" vertical="center"/>
      <protection hidden="1"/>
    </xf>
    <xf numFmtId="3" fontId="2" fillId="0" borderId="106" xfId="0" applyNumberFormat="1" applyFont="1" applyFill="1" applyBorder="1" applyAlignment="1" applyProtection="1">
      <alignment horizontal="center" vertical="center"/>
      <protection hidden="1"/>
    </xf>
    <xf numFmtId="3" fontId="2" fillId="0" borderId="44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164" xfId="0" applyFont="1" applyFill="1" applyBorder="1" applyAlignment="1" applyProtection="1">
      <alignment horizontal="center" vertical="center"/>
      <protection hidden="1"/>
    </xf>
    <xf numFmtId="0" fontId="4" fillId="0" borderId="165" xfId="0" applyFont="1" applyFill="1" applyBorder="1" applyAlignment="1" applyProtection="1">
      <alignment horizontal="center" vertical="center"/>
      <protection hidden="1"/>
    </xf>
    <xf numFmtId="0" fontId="4" fillId="0" borderId="166" xfId="0" applyFont="1" applyFill="1" applyBorder="1" applyAlignment="1" applyProtection="1">
      <alignment horizontal="center" vertical="center"/>
      <protection hidden="1"/>
    </xf>
    <xf numFmtId="1" fontId="4" fillId="0" borderId="170" xfId="0" applyNumberFormat="1" applyFont="1" applyFill="1" applyBorder="1" applyAlignment="1" applyProtection="1">
      <alignment horizontal="center" vertical="center"/>
      <protection hidden="1"/>
    </xf>
    <xf numFmtId="1" fontId="4" fillId="0" borderId="171" xfId="0" applyNumberFormat="1" applyFont="1" applyFill="1" applyBorder="1" applyAlignment="1" applyProtection="1">
      <alignment horizontal="center" vertical="center"/>
      <protection hidden="1"/>
    </xf>
    <xf numFmtId="1" fontId="4" fillId="0" borderId="172" xfId="0" applyNumberFormat="1" applyFont="1" applyFill="1" applyBorder="1" applyAlignment="1" applyProtection="1">
      <alignment horizontal="center" vertical="center"/>
      <protection hidden="1"/>
    </xf>
    <xf numFmtId="0" fontId="4" fillId="0" borderId="173" xfId="0" applyFont="1" applyFill="1" applyBorder="1" applyAlignment="1" applyProtection="1">
      <alignment horizontal="center" vertical="center"/>
      <protection hidden="1"/>
    </xf>
    <xf numFmtId="0" fontId="4" fillId="0" borderId="174" xfId="0" applyFont="1" applyFill="1" applyBorder="1" applyAlignment="1" applyProtection="1">
      <alignment horizontal="center" vertical="center"/>
      <protection hidden="1"/>
    </xf>
    <xf numFmtId="0" fontId="4" fillId="0" borderId="175" xfId="0" applyFont="1" applyFill="1" applyBorder="1" applyAlignment="1" applyProtection="1">
      <alignment horizontal="center" vertical="center"/>
      <protection hidden="1"/>
    </xf>
    <xf numFmtId="0" fontId="2" fillId="0" borderId="37" xfId="0" applyFont="1" applyFill="1" applyBorder="1" applyAlignment="1" applyProtection="1">
      <alignment horizontal="center" vertical="center"/>
      <protection hidden="1"/>
    </xf>
    <xf numFmtId="0" fontId="2" fillId="0" borderId="53" xfId="0" applyFont="1" applyFill="1" applyBorder="1" applyAlignment="1" applyProtection="1">
      <alignment horizontal="center" vertical="center"/>
      <protection hidden="1"/>
    </xf>
    <xf numFmtId="0" fontId="2" fillId="10" borderId="176" xfId="0" applyFont="1" applyFill="1" applyBorder="1" applyAlignment="1" applyProtection="1">
      <alignment horizontal="center" vertical="center"/>
      <protection hidden="1"/>
    </xf>
    <xf numFmtId="0" fontId="2" fillId="10" borderId="36" xfId="0" applyFont="1" applyFill="1" applyBorder="1" applyAlignment="1" applyProtection="1">
      <alignment horizontal="center" vertical="center"/>
      <protection hidden="1"/>
    </xf>
    <xf numFmtId="0" fontId="2" fillId="5" borderId="65" xfId="0" applyFont="1" applyFill="1" applyBorder="1" applyAlignment="1" applyProtection="1">
      <alignment horizontal="center" vertical="center"/>
      <protection hidden="1"/>
    </xf>
    <xf numFmtId="0" fontId="4" fillId="5" borderId="102" xfId="0" applyFont="1" applyFill="1" applyBorder="1" applyAlignment="1" applyProtection="1">
      <alignment horizontal="center" vertical="center"/>
      <protection hidden="1"/>
    </xf>
    <xf numFmtId="0" fontId="16" fillId="17" borderId="9" xfId="0" applyFont="1" applyFill="1" applyBorder="1" applyAlignment="1" applyProtection="1">
      <alignment horizontal="center" vertical="center" textRotation="90"/>
      <protection hidden="1"/>
    </xf>
    <xf numFmtId="0" fontId="16" fillId="17" borderId="11" xfId="0" applyFont="1" applyFill="1" applyBorder="1" applyAlignment="1" applyProtection="1">
      <alignment horizontal="center" vertical="center" textRotation="90"/>
      <protection hidden="1"/>
    </xf>
    <xf numFmtId="0" fontId="16" fillId="17" borderId="10" xfId="0" applyFont="1" applyFill="1" applyBorder="1" applyAlignment="1" applyProtection="1">
      <alignment horizontal="center" vertical="center" textRotation="90"/>
      <protection hidden="1"/>
    </xf>
    <xf numFmtId="0" fontId="16" fillId="17" borderId="177" xfId="0" applyFont="1" applyFill="1" applyBorder="1" applyAlignment="1" applyProtection="1">
      <alignment horizontal="center" vertical="center" textRotation="90"/>
      <protection hidden="1"/>
    </xf>
    <xf numFmtId="0" fontId="16" fillId="17" borderId="178" xfId="0" applyFont="1" applyFill="1" applyBorder="1" applyAlignment="1" applyProtection="1">
      <alignment horizontal="center" vertical="center" textRotation="90"/>
      <protection hidden="1"/>
    </xf>
    <xf numFmtId="0" fontId="16" fillId="17" borderId="179" xfId="0" applyFont="1" applyFill="1" applyBorder="1" applyAlignment="1" applyProtection="1">
      <alignment horizontal="center" vertical="center" textRotation="90"/>
      <protection hidden="1"/>
    </xf>
    <xf numFmtId="0" fontId="4" fillId="10" borderId="47" xfId="0" applyFont="1" applyFill="1" applyBorder="1" applyAlignment="1" applyProtection="1">
      <alignment horizontal="center" vertical="center"/>
      <protection hidden="1"/>
    </xf>
    <xf numFmtId="0" fontId="4" fillId="10" borderId="180" xfId="0" applyFont="1" applyFill="1" applyBorder="1" applyAlignment="1" applyProtection="1">
      <alignment horizontal="center" vertical="center"/>
      <protection hidden="1"/>
    </xf>
    <xf numFmtId="0" fontId="2" fillId="10" borderId="156" xfId="0" applyFont="1" applyFill="1" applyBorder="1" applyAlignment="1" applyProtection="1">
      <alignment horizontal="center" vertical="center"/>
      <protection hidden="1"/>
    </xf>
    <xf numFmtId="0" fontId="2" fillId="10" borderId="181" xfId="0" applyFont="1" applyFill="1" applyBorder="1" applyAlignment="1" applyProtection="1">
      <alignment horizontal="center" vertical="center"/>
      <protection hidden="1"/>
    </xf>
    <xf numFmtId="0" fontId="4" fillId="0" borderId="160" xfId="0" applyFont="1" applyFill="1" applyBorder="1" applyAlignment="1" applyProtection="1">
      <alignment horizontal="center" vertical="center"/>
      <protection hidden="1"/>
    </xf>
    <xf numFmtId="0" fontId="4" fillId="0" borderId="161" xfId="0" applyFont="1" applyFill="1" applyBorder="1" applyAlignment="1" applyProtection="1">
      <alignment horizontal="center" vertical="center"/>
      <protection hidden="1"/>
    </xf>
    <xf numFmtId="0" fontId="2" fillId="8" borderId="162" xfId="0" applyFont="1" applyFill="1" applyBorder="1" applyAlignment="1" applyProtection="1">
      <alignment horizontal="center" vertical="center"/>
      <protection hidden="1"/>
    </xf>
    <xf numFmtId="0" fontId="2" fillId="8" borderId="163" xfId="0" applyFont="1" applyFill="1" applyBorder="1" applyAlignment="1" applyProtection="1">
      <alignment horizontal="center" vertical="center"/>
      <protection hidden="1"/>
    </xf>
    <xf numFmtId="0" fontId="2" fillId="0" borderId="105" xfId="0" applyFont="1" applyFill="1" applyBorder="1" applyAlignment="1" applyProtection="1">
      <alignment horizontal="center" vertical="center" wrapText="1"/>
      <protection hidden="1"/>
    </xf>
    <xf numFmtId="0" fontId="2" fillId="0" borderId="59" xfId="0" applyFont="1" applyFill="1" applyBorder="1" applyAlignment="1" applyProtection="1">
      <alignment horizontal="center" vertical="center"/>
      <protection hidden="1"/>
    </xf>
    <xf numFmtId="0" fontId="2" fillId="0" borderId="188" xfId="0" applyFont="1" applyFill="1" applyBorder="1" applyAlignment="1" applyProtection="1">
      <alignment horizontal="center" vertical="center" wrapText="1"/>
      <protection hidden="1"/>
    </xf>
    <xf numFmtId="0" fontId="2" fillId="0" borderId="189" xfId="0" applyFont="1" applyFill="1" applyBorder="1" applyAlignment="1" applyProtection="1">
      <alignment horizontal="center" vertical="center"/>
      <protection hidden="1"/>
    </xf>
    <xf numFmtId="0" fontId="2" fillId="0" borderId="190" xfId="0" applyFont="1" applyFill="1" applyBorder="1" applyAlignment="1" applyProtection="1">
      <alignment horizontal="center" vertical="center" wrapText="1"/>
      <protection hidden="1"/>
    </xf>
    <xf numFmtId="0" fontId="2" fillId="0" borderId="19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5" borderId="158" xfId="0" applyFont="1" applyFill="1" applyBorder="1" applyAlignment="1" applyProtection="1">
      <alignment horizontal="center" vertical="center"/>
      <protection hidden="1"/>
    </xf>
    <xf numFmtId="0" fontId="4" fillId="5" borderId="159" xfId="0" applyFont="1" applyFill="1" applyBorder="1" applyAlignment="1" applyProtection="1">
      <alignment horizontal="center" vertical="center"/>
      <protection hidden="1"/>
    </xf>
    <xf numFmtId="0" fontId="4" fillId="0" borderId="192" xfId="0" applyFont="1" applyFill="1" applyBorder="1" applyAlignment="1" applyProtection="1">
      <alignment horizontal="center" vertical="center" wrapText="1"/>
      <protection hidden="1"/>
    </xf>
    <xf numFmtId="0" fontId="4" fillId="0" borderId="193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left" vertical="top" wrapText="1"/>
      <protection hidden="1"/>
    </xf>
    <xf numFmtId="0" fontId="2" fillId="13" borderId="194" xfId="0" applyFont="1" applyFill="1" applyBorder="1" applyAlignment="1" applyProtection="1">
      <alignment horizontal="center" vertical="center" wrapText="1"/>
      <protection hidden="1"/>
    </xf>
    <xf numFmtId="0" fontId="2" fillId="13" borderId="195" xfId="0" applyFont="1" applyFill="1" applyBorder="1" applyAlignment="1" applyProtection="1">
      <alignment horizontal="center" vertical="center"/>
      <protection hidden="1"/>
    </xf>
    <xf numFmtId="0" fontId="2" fillId="0" borderId="109" xfId="0" applyFont="1" applyFill="1" applyBorder="1" applyAlignment="1" applyProtection="1">
      <alignment horizontal="center" vertical="center" wrapText="1"/>
      <protection hidden="1"/>
    </xf>
    <xf numFmtId="0" fontId="2" fillId="0" borderId="109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14" borderId="113" xfId="0" applyFont="1" applyFill="1" applyBorder="1" applyAlignment="1" applyProtection="1">
      <alignment horizontal="center" vertical="center"/>
      <protection hidden="1"/>
    </xf>
    <xf numFmtId="0" fontId="3" fillId="5" borderId="196" xfId="0" applyFont="1" applyFill="1" applyBorder="1" applyAlignment="1" applyProtection="1">
      <alignment horizontal="center" vertical="center"/>
      <protection hidden="1"/>
    </xf>
    <xf numFmtId="0" fontId="3" fillId="5" borderId="104" xfId="0" applyFont="1" applyFill="1" applyBorder="1" applyAlignment="1" applyProtection="1">
      <alignment horizontal="center" vertical="center"/>
      <protection hidden="1"/>
    </xf>
    <xf numFmtId="0" fontId="3" fillId="5" borderId="197" xfId="0" applyFont="1" applyFill="1" applyBorder="1" applyAlignment="1" applyProtection="1">
      <alignment horizontal="center" vertical="center"/>
      <protection hidden="1"/>
    </xf>
    <xf numFmtId="0" fontId="3" fillId="5" borderId="96" xfId="0" applyFont="1" applyFill="1" applyBorder="1" applyAlignment="1" applyProtection="1">
      <alignment horizontal="center" vertical="center"/>
      <protection hidden="1"/>
    </xf>
    <xf numFmtId="0" fontId="2" fillId="0" borderId="198" xfId="0" applyFont="1" applyFill="1" applyBorder="1" applyAlignment="1" applyProtection="1">
      <alignment horizontal="center" vertical="center" wrapText="1"/>
      <protection hidden="1"/>
    </xf>
    <xf numFmtId="0" fontId="4" fillId="0" borderId="199" xfId="0" applyFont="1" applyFill="1" applyBorder="1" applyAlignment="1" applyProtection="1">
      <alignment horizontal="center" vertical="center"/>
      <protection hidden="1"/>
    </xf>
    <xf numFmtId="0" fontId="4" fillId="0" borderId="200" xfId="0" applyFont="1" applyFill="1" applyBorder="1" applyAlignment="1" applyProtection="1">
      <alignment horizontal="center" vertical="center"/>
      <protection hidden="1"/>
    </xf>
    <xf numFmtId="0" fontId="4" fillId="0" borderId="20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202" xfId="0" applyFont="1" applyFill="1" applyBorder="1" applyAlignment="1" applyProtection="1">
      <alignment horizontal="center" vertical="center"/>
      <protection hidden="1"/>
    </xf>
    <xf numFmtId="0" fontId="4" fillId="0" borderId="203" xfId="0" applyFont="1" applyFill="1" applyBorder="1" applyAlignment="1" applyProtection="1">
      <alignment horizontal="center" vertical="center"/>
      <protection hidden="1"/>
    </xf>
    <xf numFmtId="0" fontId="4" fillId="0" borderId="204" xfId="0" applyFont="1" applyFill="1" applyBorder="1" applyAlignment="1" applyProtection="1">
      <alignment horizontal="center" vertical="center"/>
      <protection hidden="1"/>
    </xf>
    <xf numFmtId="0" fontId="4" fillId="0" borderId="205" xfId="0" applyFont="1" applyFill="1" applyBorder="1" applyAlignment="1" applyProtection="1">
      <alignment horizontal="center" vertical="center"/>
      <protection hidden="1"/>
    </xf>
    <xf numFmtId="0" fontId="2" fillId="0" borderId="105" xfId="0" applyFont="1" applyFill="1" applyBorder="1" applyAlignment="1" applyProtection="1">
      <alignment horizontal="center" vertical="center"/>
      <protection hidden="1"/>
    </xf>
  </cellXfs>
  <cellStyles count="3">
    <cellStyle name="Hyperlink" xfId="1" builtinId="8"/>
    <cellStyle name="Normal" xfId="0" builtinId="0"/>
    <cellStyle name="Percent" xfId="2" builtinId="5"/>
  </cellStyles>
  <dxfs count="452"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4" name="Picture 1">
          <a:extLst>
            <a:ext uri="{FF2B5EF4-FFF2-40B4-BE49-F238E27FC236}">
              <a16:creationId xmlns:a16="http://schemas.microsoft.com/office/drawing/2014/main" id="{00000000-0008-0000-0600-00004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5" name="Picture 2">
          <a:extLst>
            <a:ext uri="{FF2B5EF4-FFF2-40B4-BE49-F238E27FC236}">
              <a16:creationId xmlns:a16="http://schemas.microsoft.com/office/drawing/2014/main" id="{00000000-0008-0000-0600-00004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6" name="Picture 3">
          <a:extLst>
            <a:ext uri="{FF2B5EF4-FFF2-40B4-BE49-F238E27FC236}">
              <a16:creationId xmlns:a16="http://schemas.microsoft.com/office/drawing/2014/main" id="{00000000-0008-0000-0600-00004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7" name="Picture 4">
          <a:extLst>
            <a:ext uri="{FF2B5EF4-FFF2-40B4-BE49-F238E27FC236}">
              <a16:creationId xmlns:a16="http://schemas.microsoft.com/office/drawing/2014/main" id="{00000000-0008-0000-0600-00004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8" name="Picture 5">
          <a:extLst>
            <a:ext uri="{FF2B5EF4-FFF2-40B4-BE49-F238E27FC236}">
              <a16:creationId xmlns:a16="http://schemas.microsoft.com/office/drawing/2014/main" id="{00000000-0008-0000-0600-00004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9" name="Picture 6">
          <a:extLst>
            <a:ext uri="{FF2B5EF4-FFF2-40B4-BE49-F238E27FC236}">
              <a16:creationId xmlns:a16="http://schemas.microsoft.com/office/drawing/2014/main" id="{00000000-0008-0000-0600-00004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37" name="Picture 1">
          <a:extLst>
            <a:ext uri="{FF2B5EF4-FFF2-40B4-BE49-F238E27FC236}">
              <a16:creationId xmlns:a16="http://schemas.microsoft.com/office/drawing/2014/main" id="{00000000-0008-0000-0700-00002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38" name="Picture 2">
          <a:extLst>
            <a:ext uri="{FF2B5EF4-FFF2-40B4-BE49-F238E27FC236}">
              <a16:creationId xmlns:a16="http://schemas.microsoft.com/office/drawing/2014/main" id="{00000000-0008-0000-0700-00002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39" name="Picture 3">
          <a:extLst>
            <a:ext uri="{FF2B5EF4-FFF2-40B4-BE49-F238E27FC236}">
              <a16:creationId xmlns:a16="http://schemas.microsoft.com/office/drawing/2014/main" id="{00000000-0008-0000-0700-00002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0" name="Picture 4">
          <a:extLst>
            <a:ext uri="{FF2B5EF4-FFF2-40B4-BE49-F238E27FC236}">
              <a16:creationId xmlns:a16="http://schemas.microsoft.com/office/drawing/2014/main" id="{00000000-0008-0000-0700-00003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1" name="Picture 5">
          <a:extLst>
            <a:ext uri="{FF2B5EF4-FFF2-40B4-BE49-F238E27FC236}">
              <a16:creationId xmlns:a16="http://schemas.microsoft.com/office/drawing/2014/main" id="{00000000-0008-0000-0700-00003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2" name="Picture 6">
          <a:extLst>
            <a:ext uri="{FF2B5EF4-FFF2-40B4-BE49-F238E27FC236}">
              <a16:creationId xmlns:a16="http://schemas.microsoft.com/office/drawing/2014/main" id="{00000000-0008-0000-0700-00003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3" name="Picture 7">
          <a:extLst>
            <a:ext uri="{FF2B5EF4-FFF2-40B4-BE49-F238E27FC236}">
              <a16:creationId xmlns:a16="http://schemas.microsoft.com/office/drawing/2014/main" id="{00000000-0008-0000-0700-00003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1" name="Picture 1">
          <a:extLst>
            <a:ext uri="{FF2B5EF4-FFF2-40B4-BE49-F238E27FC236}">
              <a16:creationId xmlns:a16="http://schemas.microsoft.com/office/drawing/2014/main" id="{00000000-0008-0000-0800-00002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2" name="Picture 2">
          <a:extLst>
            <a:ext uri="{FF2B5EF4-FFF2-40B4-BE49-F238E27FC236}">
              <a16:creationId xmlns:a16="http://schemas.microsoft.com/office/drawing/2014/main" id="{00000000-0008-0000-0800-00002E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3" name="Picture 3">
          <a:extLst>
            <a:ext uri="{FF2B5EF4-FFF2-40B4-BE49-F238E27FC236}">
              <a16:creationId xmlns:a16="http://schemas.microsoft.com/office/drawing/2014/main" id="{00000000-0008-0000-0800-00002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4" name="Picture 4">
          <a:extLst>
            <a:ext uri="{FF2B5EF4-FFF2-40B4-BE49-F238E27FC236}">
              <a16:creationId xmlns:a16="http://schemas.microsoft.com/office/drawing/2014/main" id="{00000000-0008-0000-0800-00003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5" name="Picture 5">
          <a:extLst>
            <a:ext uri="{FF2B5EF4-FFF2-40B4-BE49-F238E27FC236}">
              <a16:creationId xmlns:a16="http://schemas.microsoft.com/office/drawing/2014/main" id="{00000000-0008-0000-0800-00003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6" name="Picture 6">
          <a:extLst>
            <a:ext uri="{FF2B5EF4-FFF2-40B4-BE49-F238E27FC236}">
              <a16:creationId xmlns:a16="http://schemas.microsoft.com/office/drawing/2014/main" id="{00000000-0008-0000-0800-00003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7" name="Picture 7">
          <a:extLst>
            <a:ext uri="{FF2B5EF4-FFF2-40B4-BE49-F238E27FC236}">
              <a16:creationId xmlns:a16="http://schemas.microsoft.com/office/drawing/2014/main" id="{00000000-0008-0000-0800-00003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8" name="Picture 8">
          <a:extLst>
            <a:ext uri="{FF2B5EF4-FFF2-40B4-BE49-F238E27FC236}">
              <a16:creationId xmlns:a16="http://schemas.microsoft.com/office/drawing/2014/main" id="{00000000-0008-0000-0800-000034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5" name="Picture 1">
          <a:extLst>
            <a:ext uri="{FF2B5EF4-FFF2-40B4-BE49-F238E27FC236}">
              <a16:creationId xmlns:a16="http://schemas.microsoft.com/office/drawing/2014/main" id="{00000000-0008-0000-0900-00002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6" name="Picture 2">
          <a:extLst>
            <a:ext uri="{FF2B5EF4-FFF2-40B4-BE49-F238E27FC236}">
              <a16:creationId xmlns:a16="http://schemas.microsoft.com/office/drawing/2014/main" id="{00000000-0008-0000-0900-00002E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7" name="Picture 3">
          <a:extLst>
            <a:ext uri="{FF2B5EF4-FFF2-40B4-BE49-F238E27FC236}">
              <a16:creationId xmlns:a16="http://schemas.microsoft.com/office/drawing/2014/main" id="{00000000-0008-0000-0900-00002F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8" name="Picture 4">
          <a:extLst>
            <a:ext uri="{FF2B5EF4-FFF2-40B4-BE49-F238E27FC236}">
              <a16:creationId xmlns:a16="http://schemas.microsoft.com/office/drawing/2014/main" id="{00000000-0008-0000-0900-00003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9" name="Picture 5">
          <a:extLst>
            <a:ext uri="{FF2B5EF4-FFF2-40B4-BE49-F238E27FC236}">
              <a16:creationId xmlns:a16="http://schemas.microsoft.com/office/drawing/2014/main" id="{00000000-0008-0000-0900-00003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0" name="Picture 6">
          <a:extLst>
            <a:ext uri="{FF2B5EF4-FFF2-40B4-BE49-F238E27FC236}">
              <a16:creationId xmlns:a16="http://schemas.microsoft.com/office/drawing/2014/main" id="{00000000-0008-0000-0900-00003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1" name="Picture 7">
          <a:extLst>
            <a:ext uri="{FF2B5EF4-FFF2-40B4-BE49-F238E27FC236}">
              <a16:creationId xmlns:a16="http://schemas.microsoft.com/office/drawing/2014/main" id="{00000000-0008-0000-0900-00003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2" name="Picture 8">
          <a:extLst>
            <a:ext uri="{FF2B5EF4-FFF2-40B4-BE49-F238E27FC236}">
              <a16:creationId xmlns:a16="http://schemas.microsoft.com/office/drawing/2014/main" id="{00000000-0008-0000-0900-000034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3" name="Picture 9">
          <a:extLst>
            <a:ext uri="{FF2B5EF4-FFF2-40B4-BE49-F238E27FC236}">
              <a16:creationId xmlns:a16="http://schemas.microsoft.com/office/drawing/2014/main" id="{00000000-0008-0000-0900-000035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09" name="Picture 1">
          <a:extLst>
            <a:ext uri="{FF2B5EF4-FFF2-40B4-BE49-F238E27FC236}">
              <a16:creationId xmlns:a16="http://schemas.microsoft.com/office/drawing/2014/main" id="{00000000-0008-0000-0A00-00002D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0" name="Picture 2">
          <a:extLst>
            <a:ext uri="{FF2B5EF4-FFF2-40B4-BE49-F238E27FC236}">
              <a16:creationId xmlns:a16="http://schemas.microsoft.com/office/drawing/2014/main" id="{00000000-0008-0000-0A00-00002E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1" name="Picture 3">
          <a:extLst>
            <a:ext uri="{FF2B5EF4-FFF2-40B4-BE49-F238E27FC236}">
              <a16:creationId xmlns:a16="http://schemas.microsoft.com/office/drawing/2014/main" id="{00000000-0008-0000-0A00-00002F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2" name="Picture 4">
          <a:extLst>
            <a:ext uri="{FF2B5EF4-FFF2-40B4-BE49-F238E27FC236}">
              <a16:creationId xmlns:a16="http://schemas.microsoft.com/office/drawing/2014/main" id="{00000000-0008-0000-0A00-000030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3" name="Picture 5">
          <a:extLst>
            <a:ext uri="{FF2B5EF4-FFF2-40B4-BE49-F238E27FC236}">
              <a16:creationId xmlns:a16="http://schemas.microsoft.com/office/drawing/2014/main" id="{00000000-0008-0000-0A00-00003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4" name="Picture 6">
          <a:extLst>
            <a:ext uri="{FF2B5EF4-FFF2-40B4-BE49-F238E27FC236}">
              <a16:creationId xmlns:a16="http://schemas.microsoft.com/office/drawing/2014/main" id="{00000000-0008-0000-0A00-00003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5" name="Picture 7">
          <a:extLst>
            <a:ext uri="{FF2B5EF4-FFF2-40B4-BE49-F238E27FC236}">
              <a16:creationId xmlns:a16="http://schemas.microsoft.com/office/drawing/2014/main" id="{00000000-0008-0000-0A00-00003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6" name="Picture 8">
          <a:extLst>
            <a:ext uri="{FF2B5EF4-FFF2-40B4-BE49-F238E27FC236}">
              <a16:creationId xmlns:a16="http://schemas.microsoft.com/office/drawing/2014/main" id="{00000000-0008-0000-0A00-000034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7" name="Picture 9">
          <a:extLst>
            <a:ext uri="{FF2B5EF4-FFF2-40B4-BE49-F238E27FC236}">
              <a16:creationId xmlns:a16="http://schemas.microsoft.com/office/drawing/2014/main" id="{00000000-0008-0000-0A00-000035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8" name="Picture 10">
          <a:extLst>
            <a:ext uri="{FF2B5EF4-FFF2-40B4-BE49-F238E27FC236}">
              <a16:creationId xmlns:a16="http://schemas.microsoft.com/office/drawing/2014/main" id="{00000000-0008-0000-0A00-000036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3" name="Picture 1">
          <a:extLst>
            <a:ext uri="{FF2B5EF4-FFF2-40B4-BE49-F238E27FC236}">
              <a16:creationId xmlns:a16="http://schemas.microsoft.com/office/drawing/2014/main" id="{00000000-0008-0000-0B00-00002D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4" name="Picture 2">
          <a:extLst>
            <a:ext uri="{FF2B5EF4-FFF2-40B4-BE49-F238E27FC236}">
              <a16:creationId xmlns:a16="http://schemas.microsoft.com/office/drawing/2014/main" id="{00000000-0008-0000-0B00-00002E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5" name="Picture 3">
          <a:extLst>
            <a:ext uri="{FF2B5EF4-FFF2-40B4-BE49-F238E27FC236}">
              <a16:creationId xmlns:a16="http://schemas.microsoft.com/office/drawing/2014/main" id="{00000000-0008-0000-0B00-00002F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6" name="Picture 4">
          <a:extLst>
            <a:ext uri="{FF2B5EF4-FFF2-40B4-BE49-F238E27FC236}">
              <a16:creationId xmlns:a16="http://schemas.microsoft.com/office/drawing/2014/main" id="{00000000-0008-0000-0B00-000030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7" name="Picture 5">
          <a:extLst>
            <a:ext uri="{FF2B5EF4-FFF2-40B4-BE49-F238E27FC236}">
              <a16:creationId xmlns:a16="http://schemas.microsoft.com/office/drawing/2014/main" id="{00000000-0008-0000-0B00-00003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8" name="Picture 6">
          <a:extLst>
            <a:ext uri="{FF2B5EF4-FFF2-40B4-BE49-F238E27FC236}">
              <a16:creationId xmlns:a16="http://schemas.microsoft.com/office/drawing/2014/main" id="{00000000-0008-0000-0B00-00003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9" name="Picture 7">
          <a:extLst>
            <a:ext uri="{FF2B5EF4-FFF2-40B4-BE49-F238E27FC236}">
              <a16:creationId xmlns:a16="http://schemas.microsoft.com/office/drawing/2014/main" id="{00000000-0008-0000-0B00-00003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0" name="Picture 8">
          <a:extLst>
            <a:ext uri="{FF2B5EF4-FFF2-40B4-BE49-F238E27FC236}">
              <a16:creationId xmlns:a16="http://schemas.microsoft.com/office/drawing/2014/main" id="{00000000-0008-0000-0B00-000034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1" name="Picture 9">
          <a:extLst>
            <a:ext uri="{FF2B5EF4-FFF2-40B4-BE49-F238E27FC236}">
              <a16:creationId xmlns:a16="http://schemas.microsoft.com/office/drawing/2014/main" id="{00000000-0008-0000-0B00-000035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2" name="Picture 10">
          <a:extLst>
            <a:ext uri="{FF2B5EF4-FFF2-40B4-BE49-F238E27FC236}">
              <a16:creationId xmlns:a16="http://schemas.microsoft.com/office/drawing/2014/main" id="{00000000-0008-0000-0B00-000036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3" name="Picture 11">
          <a:extLst>
            <a:ext uri="{FF2B5EF4-FFF2-40B4-BE49-F238E27FC236}">
              <a16:creationId xmlns:a16="http://schemas.microsoft.com/office/drawing/2014/main" id="{00000000-0008-0000-0B00-00003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57" name="Picture 1">
          <a:extLst>
            <a:ext uri="{FF2B5EF4-FFF2-40B4-BE49-F238E27FC236}">
              <a16:creationId xmlns:a16="http://schemas.microsoft.com/office/drawing/2014/main" id="{00000000-0008-0000-0C00-00002D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58" name="Picture 2">
          <a:extLst>
            <a:ext uri="{FF2B5EF4-FFF2-40B4-BE49-F238E27FC236}">
              <a16:creationId xmlns:a16="http://schemas.microsoft.com/office/drawing/2014/main" id="{00000000-0008-0000-0C00-00002E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59" name="Picture 3">
          <a:extLst>
            <a:ext uri="{FF2B5EF4-FFF2-40B4-BE49-F238E27FC236}">
              <a16:creationId xmlns:a16="http://schemas.microsoft.com/office/drawing/2014/main" id="{00000000-0008-0000-0C00-00002F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0" name="Picture 4">
          <a:extLst>
            <a:ext uri="{FF2B5EF4-FFF2-40B4-BE49-F238E27FC236}">
              <a16:creationId xmlns:a16="http://schemas.microsoft.com/office/drawing/2014/main" id="{00000000-0008-0000-0C00-000030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1" name="Picture 5">
          <a:extLst>
            <a:ext uri="{FF2B5EF4-FFF2-40B4-BE49-F238E27FC236}">
              <a16:creationId xmlns:a16="http://schemas.microsoft.com/office/drawing/2014/main" id="{00000000-0008-0000-0C00-00003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2" name="Picture 6">
          <a:extLst>
            <a:ext uri="{FF2B5EF4-FFF2-40B4-BE49-F238E27FC236}">
              <a16:creationId xmlns:a16="http://schemas.microsoft.com/office/drawing/2014/main" id="{00000000-0008-0000-0C00-00003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3" name="Picture 7">
          <a:extLst>
            <a:ext uri="{FF2B5EF4-FFF2-40B4-BE49-F238E27FC236}">
              <a16:creationId xmlns:a16="http://schemas.microsoft.com/office/drawing/2014/main" id="{00000000-0008-0000-0C00-00003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4" name="Picture 8">
          <a:extLst>
            <a:ext uri="{FF2B5EF4-FFF2-40B4-BE49-F238E27FC236}">
              <a16:creationId xmlns:a16="http://schemas.microsoft.com/office/drawing/2014/main" id="{00000000-0008-0000-0C00-000034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5" name="Picture 9">
          <a:extLst>
            <a:ext uri="{FF2B5EF4-FFF2-40B4-BE49-F238E27FC236}">
              <a16:creationId xmlns:a16="http://schemas.microsoft.com/office/drawing/2014/main" id="{00000000-0008-0000-0C00-000035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6" name="Picture 10">
          <a:extLst>
            <a:ext uri="{FF2B5EF4-FFF2-40B4-BE49-F238E27FC236}">
              <a16:creationId xmlns:a16="http://schemas.microsoft.com/office/drawing/2014/main" id="{00000000-0008-0000-0C00-000036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7" name="Picture 11">
          <a:extLst>
            <a:ext uri="{FF2B5EF4-FFF2-40B4-BE49-F238E27FC236}">
              <a16:creationId xmlns:a16="http://schemas.microsoft.com/office/drawing/2014/main" id="{00000000-0008-0000-0C00-000037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8" name="Picture 12">
          <a:extLst>
            <a:ext uri="{FF2B5EF4-FFF2-40B4-BE49-F238E27FC236}">
              <a16:creationId xmlns:a16="http://schemas.microsoft.com/office/drawing/2014/main" id="{00000000-0008-0000-0C00-00003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1" name="Picture 1">
          <a:extLst>
            <a:ext uri="{FF2B5EF4-FFF2-40B4-BE49-F238E27FC236}">
              <a16:creationId xmlns:a16="http://schemas.microsoft.com/office/drawing/2014/main" id="{00000000-0008-0000-0D00-00002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2" name="Picture 2">
          <a:extLst>
            <a:ext uri="{FF2B5EF4-FFF2-40B4-BE49-F238E27FC236}">
              <a16:creationId xmlns:a16="http://schemas.microsoft.com/office/drawing/2014/main" id="{00000000-0008-0000-0D00-00002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3" name="Picture 3">
          <a:extLst>
            <a:ext uri="{FF2B5EF4-FFF2-40B4-BE49-F238E27FC236}">
              <a16:creationId xmlns:a16="http://schemas.microsoft.com/office/drawing/2014/main" id="{00000000-0008-0000-0D00-00002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4" name="Picture 4">
          <a:extLst>
            <a:ext uri="{FF2B5EF4-FFF2-40B4-BE49-F238E27FC236}">
              <a16:creationId xmlns:a16="http://schemas.microsoft.com/office/drawing/2014/main" id="{00000000-0008-0000-0D00-00003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5" name="Picture 5">
          <a:extLst>
            <a:ext uri="{FF2B5EF4-FFF2-40B4-BE49-F238E27FC236}">
              <a16:creationId xmlns:a16="http://schemas.microsoft.com/office/drawing/2014/main" id="{00000000-0008-0000-0D00-00003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6" name="Picture 6">
          <a:extLst>
            <a:ext uri="{FF2B5EF4-FFF2-40B4-BE49-F238E27FC236}">
              <a16:creationId xmlns:a16="http://schemas.microsoft.com/office/drawing/2014/main" id="{00000000-0008-0000-0D00-00003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7" name="Picture 7">
          <a:extLst>
            <a:ext uri="{FF2B5EF4-FFF2-40B4-BE49-F238E27FC236}">
              <a16:creationId xmlns:a16="http://schemas.microsoft.com/office/drawing/2014/main" id="{00000000-0008-0000-0D00-00003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8" name="Picture 8">
          <a:extLst>
            <a:ext uri="{FF2B5EF4-FFF2-40B4-BE49-F238E27FC236}">
              <a16:creationId xmlns:a16="http://schemas.microsoft.com/office/drawing/2014/main" id="{00000000-0008-0000-0D00-00003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9" name="Picture 9">
          <a:extLst>
            <a:ext uri="{FF2B5EF4-FFF2-40B4-BE49-F238E27FC236}">
              <a16:creationId xmlns:a16="http://schemas.microsoft.com/office/drawing/2014/main" id="{00000000-0008-0000-0D00-00003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0" name="Picture 10">
          <a:extLst>
            <a:ext uri="{FF2B5EF4-FFF2-40B4-BE49-F238E27FC236}">
              <a16:creationId xmlns:a16="http://schemas.microsoft.com/office/drawing/2014/main" id="{00000000-0008-0000-0D00-00003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1" name="Picture 11">
          <a:extLst>
            <a:ext uri="{FF2B5EF4-FFF2-40B4-BE49-F238E27FC236}">
              <a16:creationId xmlns:a16="http://schemas.microsoft.com/office/drawing/2014/main" id="{00000000-0008-0000-0D00-00003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2" name="Picture 12">
          <a:extLst>
            <a:ext uri="{FF2B5EF4-FFF2-40B4-BE49-F238E27FC236}">
              <a16:creationId xmlns:a16="http://schemas.microsoft.com/office/drawing/2014/main" id="{00000000-0008-0000-0D00-00003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3" name="Picture 13">
          <a:extLst>
            <a:ext uri="{FF2B5EF4-FFF2-40B4-BE49-F238E27FC236}">
              <a16:creationId xmlns:a16="http://schemas.microsoft.com/office/drawing/2014/main" id="{00000000-0008-0000-0D00-00003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abSelected="1" workbookViewId="0"/>
  </sheetViews>
  <sheetFormatPr defaultRowHeight="12.75" x14ac:dyDescent="0.2"/>
  <cols>
    <col min="1" max="1" width="115.7109375" customWidth="1"/>
  </cols>
  <sheetData>
    <row r="1" spans="1:1" x14ac:dyDescent="0.2">
      <c r="A1" t="s">
        <v>132</v>
      </c>
    </row>
    <row r="3" spans="1:1" x14ac:dyDescent="0.2">
      <c r="A3" s="212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s="8" t="s">
        <v>155</v>
      </c>
    </row>
    <row r="11" spans="1:1" x14ac:dyDescent="0.2">
      <c r="A11" t="s">
        <v>124</v>
      </c>
    </row>
    <row r="12" spans="1:1" x14ac:dyDescent="0.2">
      <c r="A12" t="s">
        <v>131</v>
      </c>
    </row>
    <row r="13" spans="1:1" x14ac:dyDescent="0.2">
      <c r="A13" t="s">
        <v>122</v>
      </c>
    </row>
    <row r="14" spans="1:1" x14ac:dyDescent="0.2">
      <c r="A14" t="s">
        <v>123</v>
      </c>
    </row>
    <row r="16" spans="1:1" x14ac:dyDescent="0.2">
      <c r="A16" t="s">
        <v>125</v>
      </c>
    </row>
    <row r="17" spans="1:1" x14ac:dyDescent="0.2">
      <c r="A17" t="s">
        <v>130</v>
      </c>
    </row>
    <row r="18" spans="1:1" x14ac:dyDescent="0.2">
      <c r="A18" t="s">
        <v>126</v>
      </c>
    </row>
    <row r="19" spans="1:1" x14ac:dyDescent="0.2">
      <c r="A19" t="s">
        <v>123</v>
      </c>
    </row>
    <row r="21" spans="1:1" x14ac:dyDescent="0.2">
      <c r="A21" t="s">
        <v>127</v>
      </c>
    </row>
    <row r="22" spans="1:1" x14ac:dyDescent="0.2">
      <c r="A22" t="s">
        <v>131</v>
      </c>
    </row>
    <row r="23" spans="1:1" x14ac:dyDescent="0.2">
      <c r="A23" t="s">
        <v>122</v>
      </c>
    </row>
    <row r="24" spans="1:1" x14ac:dyDescent="0.2">
      <c r="A24" t="s">
        <v>128</v>
      </c>
    </row>
    <row r="26" spans="1:1" x14ac:dyDescent="0.2">
      <c r="A26" t="s">
        <v>129</v>
      </c>
    </row>
    <row r="27" spans="1:1" x14ac:dyDescent="0.2">
      <c r="A27" t="s">
        <v>130</v>
      </c>
    </row>
    <row r="28" spans="1:1" x14ac:dyDescent="0.2">
      <c r="A28" t="s">
        <v>126</v>
      </c>
    </row>
    <row r="29" spans="1:1" x14ac:dyDescent="0.2">
      <c r="A29" t="s">
        <v>128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 x14ac:dyDescent="0.2"/>
    <row r="2" spans="2:10" ht="15" customHeight="1" x14ac:dyDescent="0.2">
      <c r="B2" s="149" t="s">
        <v>91</v>
      </c>
      <c r="C2" s="95"/>
      <c r="F2" s="81"/>
      <c r="G2" s="81"/>
      <c r="H2" s="81"/>
    </row>
    <row r="3" spans="2:10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0" ht="15" customHeight="1" x14ac:dyDescent="0.2">
      <c r="B4" s="148" t="e">
        <f>#REF!</f>
        <v>#REF!</v>
      </c>
      <c r="C4" s="94"/>
      <c r="F4" s="82"/>
      <c r="G4" s="82"/>
      <c r="H4" s="82"/>
    </row>
    <row r="5" spans="2:10" ht="19.5" customHeight="1" x14ac:dyDescent="0.2">
      <c r="I5" s="66"/>
      <c r="J5" s="66"/>
    </row>
    <row r="6" spans="2:10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</row>
    <row r="7" spans="2:10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</row>
    <row r="8" spans="2:10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</row>
    <row r="9" spans="2:10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</row>
    <row r="10" spans="2:10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</row>
    <row r="11" spans="2:10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</row>
    <row r="12" spans="2:10" ht="7.5" customHeight="1" thickBot="1" x14ac:dyDescent="0.25">
      <c r="G12" s="79"/>
      <c r="H12" s="79"/>
      <c r="I12" s="79"/>
      <c r="J12" s="45"/>
    </row>
    <row r="13" spans="2:10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0" ht="8.25" customHeight="1" x14ac:dyDescent="0.2">
      <c r="B14" s="105"/>
      <c r="C14" s="104"/>
      <c r="D14" s="104"/>
      <c r="E14" s="103"/>
      <c r="F14" s="105"/>
      <c r="G14" s="104"/>
      <c r="H14" s="104"/>
    </row>
    <row r="15" spans="2:10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>
        <v>98</v>
      </c>
    </row>
    <row r="16" spans="2:10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>
        <f>Data!R20</f>
        <v>1.4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98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s">
        <v>72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2"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D37:D38"/>
    <mergeCell ref="B31:D31"/>
    <mergeCell ref="B32:D32"/>
    <mergeCell ref="B33:D33"/>
    <mergeCell ref="B34:D34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C13:E13"/>
    <mergeCell ref="G13:J13"/>
    <mergeCell ref="I18:J18"/>
    <mergeCell ref="F15:H15"/>
    <mergeCell ref="F16:H16"/>
  </mergeCells>
  <conditionalFormatting sqref="J39:J44">
    <cfRule type="cellIs" dxfId="249" priority="17" operator="greaterThan">
      <formula>1</formula>
    </cfRule>
  </conditionalFormatting>
  <conditionalFormatting sqref="I53">
    <cfRule type="cellIs" dxfId="248" priority="47" operator="greaterThanOrEqual">
      <formula>1</formula>
    </cfRule>
    <cfRule type="cellIs" dxfId="247" priority="48" operator="lessThan">
      <formula>1</formula>
    </cfRule>
  </conditionalFormatting>
  <conditionalFormatting sqref="G53">
    <cfRule type="cellIs" dxfId="246" priority="25" operator="greaterThan">
      <formula>1.25</formula>
    </cfRule>
    <cfRule type="cellIs" dxfId="245" priority="26" operator="greaterThan">
      <formula>1.15</formula>
    </cfRule>
    <cfRule type="cellIs" dxfId="244" priority="50" operator="lessThan">
      <formula>0.9</formula>
    </cfRule>
  </conditionalFormatting>
  <conditionalFormatting sqref="H53">
    <cfRule type="cellIs" dxfId="243" priority="49" operator="lessThan">
      <formula>0.9</formula>
    </cfRule>
  </conditionalFormatting>
  <conditionalFormatting sqref="G53:H53">
    <cfRule type="cellIs" dxfId="242" priority="46" operator="greaterThanOrEqual">
      <formula>0.9</formula>
    </cfRule>
  </conditionalFormatting>
  <conditionalFormatting sqref="B28:D33 B39:D44 F28:J33">
    <cfRule type="expression" dxfId="241" priority="45">
      <formula>$I$24="Yes"</formula>
    </cfRule>
  </conditionalFormatting>
  <conditionalFormatting sqref="B34:D34 F34:J34 B45:D45 I45:J45">
    <cfRule type="expression" dxfId="240" priority="44">
      <formula>$I$24="No"</formula>
    </cfRule>
  </conditionalFormatting>
  <conditionalFormatting sqref="I51">
    <cfRule type="expression" dxfId="239" priority="43">
      <formula>$I$51&lt;0</formula>
    </cfRule>
  </conditionalFormatting>
  <conditionalFormatting sqref="C26">
    <cfRule type="cellIs" dxfId="238" priority="42" operator="greaterThan">
      <formula>$J$7</formula>
    </cfRule>
  </conditionalFormatting>
  <conditionalFormatting sqref="C37">
    <cfRule type="cellIs" dxfId="237" priority="41" operator="lessThan">
      <formula>$J$7</formula>
    </cfRule>
  </conditionalFormatting>
  <conditionalFormatting sqref="E60">
    <cfRule type="cellIs" dxfId="236" priority="40" operator="lessThan">
      <formula>$F$60</formula>
    </cfRule>
  </conditionalFormatting>
  <conditionalFormatting sqref="F60">
    <cfRule type="cellIs" dxfId="235" priority="39" operator="greaterThan">
      <formula>$E$60</formula>
    </cfRule>
  </conditionalFormatting>
  <conditionalFormatting sqref="E64">
    <cfRule type="cellIs" dxfId="234" priority="38" operator="lessThan">
      <formula>$F$64</formula>
    </cfRule>
  </conditionalFormatting>
  <conditionalFormatting sqref="J24">
    <cfRule type="expression" dxfId="233" priority="37">
      <formula>$I$24="Yes"</formula>
    </cfRule>
  </conditionalFormatting>
  <conditionalFormatting sqref="F39:J44">
    <cfRule type="expression" dxfId="232" priority="36">
      <formula>$I$24="Yes"</formula>
    </cfRule>
  </conditionalFormatting>
  <conditionalFormatting sqref="F45">
    <cfRule type="expression" dxfId="231" priority="35">
      <formula>$I$24="No"</formula>
    </cfRule>
  </conditionalFormatting>
  <conditionalFormatting sqref="G45:H45">
    <cfRule type="expression" dxfId="230" priority="34">
      <formula>$I$24="No"</formula>
    </cfRule>
  </conditionalFormatting>
  <conditionalFormatting sqref="I20:J20">
    <cfRule type="cellIs" dxfId="229" priority="23" operator="lessThan">
      <formula>0.9</formula>
    </cfRule>
    <cfRule type="cellIs" dxfId="228" priority="24" operator="greaterThan">
      <formula>1.1</formula>
    </cfRule>
    <cfRule type="cellIs" dxfId="227" priority="33" operator="between">
      <formula>0.9</formula>
      <formula>1.1</formula>
    </cfRule>
  </conditionalFormatting>
  <conditionalFormatting sqref="I56">
    <cfRule type="expression" dxfId="226" priority="29">
      <formula>$I$53&gt;=100%</formula>
    </cfRule>
    <cfRule type="expression" dxfId="225" priority="30">
      <formula>$I$53&lt;100%</formula>
    </cfRule>
  </conditionalFormatting>
  <conditionalFormatting sqref="G56">
    <cfRule type="expression" dxfId="224" priority="28">
      <formula>$G$53&gt;=90%</formula>
    </cfRule>
    <cfRule type="expression" dxfId="223" priority="32">
      <formula>$G$53&lt;90%</formula>
    </cfRule>
  </conditionalFormatting>
  <conditionalFormatting sqref="H56">
    <cfRule type="expression" dxfId="222" priority="27">
      <formula>$H$53&gt;=90%</formula>
    </cfRule>
    <cfRule type="expression" dxfId="221" priority="31">
      <formula>$H$53&lt;90%</formula>
    </cfRule>
  </conditionalFormatting>
  <conditionalFormatting sqref="H64">
    <cfRule type="cellIs" dxfId="2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219" priority="15">
      <formula>$G$13="Furnace Only"</formula>
    </cfRule>
  </conditionalFormatting>
  <conditionalFormatting sqref="J28:J33">
    <cfRule type="cellIs" dxfId="218" priority="20" operator="greaterThan">
      <formula>1</formula>
    </cfRule>
  </conditionalFormatting>
  <conditionalFormatting sqref="G32:G33">
    <cfRule type="expression" dxfId="217" priority="18">
      <formula>$G$28=""</formula>
    </cfRule>
    <cfRule type="cellIs" dxfId="216" priority="21" operator="greaterThan">
      <formula>$G$28</formula>
    </cfRule>
  </conditionalFormatting>
  <conditionalFormatting sqref="G43:G44">
    <cfRule type="expression" dxfId="215" priority="16">
      <formula>$G$43=""</formula>
    </cfRule>
    <cfRule type="cellIs" dxfId="214" priority="19" operator="greaterThan">
      <formula>$G$39</formula>
    </cfRule>
  </conditionalFormatting>
  <conditionalFormatting sqref="J28:J33 J39:J44">
    <cfRule type="expression" dxfId="213" priority="14">
      <formula>$J$28="N/A"</formula>
    </cfRule>
  </conditionalFormatting>
  <conditionalFormatting sqref="G32:G33 G43:G44">
    <cfRule type="expression" dxfId="212" priority="13">
      <formula>$I$24="Yes"</formula>
    </cfRule>
  </conditionalFormatting>
  <conditionalFormatting sqref="F32:F33">
    <cfRule type="cellIs" dxfId="211" priority="12" operator="greaterThan">
      <formula>$F$30</formula>
    </cfRule>
  </conditionalFormatting>
  <conditionalFormatting sqref="C15:J15 I17:J17 B62:I64 B61:J61 B58:G60">
    <cfRule type="expression" dxfId="210" priority="11">
      <formula>$G$13="A/C Only"</formula>
    </cfRule>
  </conditionalFormatting>
  <conditionalFormatting sqref="C15:J15 B62:I64">
    <cfRule type="expression" dxfId="209" priority="10">
      <formula>$G$13="Heat Pump"</formula>
    </cfRule>
  </conditionalFormatting>
  <conditionalFormatting sqref="I17:J17 B58:G60">
    <cfRule type="expression" dxfId="208" priority="9">
      <formula>$G$13="Furnace + A/C"</formula>
    </cfRule>
  </conditionalFormatting>
  <conditionalFormatting sqref="J62:J64">
    <cfRule type="expression" dxfId="207" priority="8">
      <formula>$G$13="A/C Only"</formula>
    </cfRule>
  </conditionalFormatting>
  <conditionalFormatting sqref="J62:J64">
    <cfRule type="expression" dxfId="206" priority="7">
      <formula>$G$13="Heat Pump"</formula>
    </cfRule>
  </conditionalFormatting>
  <conditionalFormatting sqref="L62:L64">
    <cfRule type="expression" dxfId="205" priority="6">
      <formula>$G$13="A/C Only"</formula>
    </cfRule>
  </conditionalFormatting>
  <conditionalFormatting sqref="L62:L64">
    <cfRule type="expression" dxfId="204" priority="5">
      <formula>$G$13="Heat Pump"</formula>
    </cfRule>
  </conditionalFormatting>
  <conditionalFormatting sqref="H51">
    <cfRule type="expression" dxfId="203" priority="4">
      <formula>$I$51&lt;0</formula>
    </cfRule>
  </conditionalFormatting>
  <conditionalFormatting sqref="G50:H52">
    <cfRule type="expression" dxfId="202" priority="3">
      <formula>$G$13="Furnace Only"</formula>
    </cfRule>
  </conditionalFormatting>
  <conditionalFormatting sqref="J56">
    <cfRule type="expression" dxfId="201" priority="2">
      <formula>$G$13="Furnace Only"</formula>
    </cfRule>
  </conditionalFormatting>
  <conditionalFormatting sqref="H58:J60">
    <cfRule type="expression" dxfId="20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 xr:uid="{00000000-0002-0000-0900-000000000000}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900-000001000000}">
      <formula1>C24&lt;=F64</formula1>
    </dataValidation>
    <dataValidation type="custom" allowBlank="1" showInputMessage="1" showErrorMessage="1" errorTitle="INCORRECT # ENTERED" error="The furnace's input capacity should be larger than the output capacity." sqref="E64" xr:uid="{00000000-0002-0000-0900-000002000000}">
      <formula1>E64&gt;F64</formula1>
    </dataValidation>
    <dataValidation type="custom" allowBlank="1" showInputMessage="1" showErrorMessage="1" errorTitle="INCORRECT # ENTERED" error="The heat pump capacity @ 47 should be larger than the capacity @ 17." sqref="E60" xr:uid="{00000000-0002-0000-0900-000003000000}">
      <formula1>E60&gt;F60</formula1>
    </dataValidation>
    <dataValidation type="custom" allowBlank="1" showInputMessage="1" showErrorMessage="1" errorTitle="INCORRECT # ENTERED" error="The sensible capacity should be less than the total capacity." sqref="H43" xr:uid="{00000000-0002-0000-0900-000004000000}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900-000005000000}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900-000006000000}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900-000007000000}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900-000008000000}">
      <formula1>H45&lt;G45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900-000009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900-00000A000000}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900-00000B000000}">
      <formula1>70</formula1>
      <formula2>80</formula2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900-00000C000000}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 xr:uid="{00000000-0002-0000-0900-00000D000000}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 x14ac:dyDescent="0.2"/>
    <row r="2" spans="2:10" ht="15" customHeight="1" x14ac:dyDescent="0.2">
      <c r="B2" s="149" t="s">
        <v>91</v>
      </c>
      <c r="C2" s="95"/>
      <c r="F2" s="81"/>
      <c r="G2" s="81"/>
      <c r="H2" s="81"/>
    </row>
    <row r="3" spans="2:10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0" ht="15" customHeight="1" x14ac:dyDescent="0.2">
      <c r="B4" s="148" t="e">
        <f>#REF!</f>
        <v>#REF!</v>
      </c>
      <c r="C4" s="94"/>
      <c r="F4" s="82"/>
      <c r="G4" s="82"/>
      <c r="H4" s="82"/>
    </row>
    <row r="5" spans="2:10" ht="19.5" customHeight="1" x14ac:dyDescent="0.2">
      <c r="I5" s="66"/>
      <c r="J5" s="66"/>
    </row>
    <row r="6" spans="2:10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</row>
    <row r="7" spans="2:10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</row>
    <row r="8" spans="2:10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</row>
    <row r="9" spans="2:10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</row>
    <row r="10" spans="2:10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</row>
    <row r="11" spans="2:10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</row>
    <row r="12" spans="2:10" ht="7.5" customHeight="1" thickBot="1" x14ac:dyDescent="0.25">
      <c r="G12" s="79"/>
      <c r="H12" s="79"/>
      <c r="I12" s="79"/>
      <c r="J12" s="45"/>
    </row>
    <row r="13" spans="2:10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0" ht="8.25" customHeight="1" x14ac:dyDescent="0.2">
      <c r="B14" s="105"/>
      <c r="C14" s="104"/>
      <c r="D14" s="104"/>
      <c r="E14" s="103"/>
      <c r="F14" s="105"/>
      <c r="G14" s="104"/>
      <c r="H14" s="104"/>
    </row>
    <row r="15" spans="2:10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/>
    </row>
    <row r="16" spans="2:10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>
        <f>Data!S19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s">
        <v>72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2"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D37:D38"/>
    <mergeCell ref="B31:D31"/>
    <mergeCell ref="B32:D32"/>
    <mergeCell ref="B33:D33"/>
    <mergeCell ref="B34:D34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C13:E13"/>
    <mergeCell ref="G13:J13"/>
    <mergeCell ref="I18:J18"/>
    <mergeCell ref="F15:H15"/>
    <mergeCell ref="F16:H16"/>
  </mergeCells>
  <conditionalFormatting sqref="J39:J44">
    <cfRule type="cellIs" dxfId="199" priority="17" operator="greaterThan">
      <formula>1</formula>
    </cfRule>
  </conditionalFormatting>
  <conditionalFormatting sqref="I53">
    <cfRule type="cellIs" dxfId="198" priority="47" operator="greaterThanOrEqual">
      <formula>1</formula>
    </cfRule>
    <cfRule type="cellIs" dxfId="197" priority="48" operator="lessThan">
      <formula>1</formula>
    </cfRule>
  </conditionalFormatting>
  <conditionalFormatting sqref="G53">
    <cfRule type="cellIs" dxfId="196" priority="25" operator="greaterThan">
      <formula>1.25</formula>
    </cfRule>
    <cfRule type="cellIs" dxfId="195" priority="26" operator="greaterThan">
      <formula>1.15</formula>
    </cfRule>
    <cfRule type="cellIs" dxfId="194" priority="50" operator="lessThan">
      <formula>0.9</formula>
    </cfRule>
  </conditionalFormatting>
  <conditionalFormatting sqref="H53">
    <cfRule type="cellIs" dxfId="193" priority="49" operator="lessThan">
      <formula>0.9</formula>
    </cfRule>
  </conditionalFormatting>
  <conditionalFormatting sqref="G53:H53">
    <cfRule type="cellIs" dxfId="192" priority="46" operator="greaterThanOrEqual">
      <formula>0.9</formula>
    </cfRule>
  </conditionalFormatting>
  <conditionalFormatting sqref="B28:D33 B39:D44 F28:J33">
    <cfRule type="expression" dxfId="191" priority="45">
      <formula>$I$24="Yes"</formula>
    </cfRule>
  </conditionalFormatting>
  <conditionalFormatting sqref="B34:D34 F34:J34 B45:D45 I45:J45">
    <cfRule type="expression" dxfId="190" priority="44">
      <formula>$I$24="No"</formula>
    </cfRule>
  </conditionalFormatting>
  <conditionalFormatting sqref="I51">
    <cfRule type="expression" dxfId="189" priority="43">
      <formula>$I$51&lt;0</formula>
    </cfRule>
  </conditionalFormatting>
  <conditionalFormatting sqref="C26">
    <cfRule type="cellIs" dxfId="188" priority="42" operator="greaterThan">
      <formula>$J$7</formula>
    </cfRule>
  </conditionalFormatting>
  <conditionalFormatting sqref="C37">
    <cfRule type="cellIs" dxfId="187" priority="41" operator="lessThan">
      <formula>$J$7</formula>
    </cfRule>
  </conditionalFormatting>
  <conditionalFormatting sqref="E60">
    <cfRule type="cellIs" dxfId="186" priority="40" operator="lessThan">
      <formula>$F$60</formula>
    </cfRule>
  </conditionalFormatting>
  <conditionalFormatting sqref="F60">
    <cfRule type="cellIs" dxfId="185" priority="39" operator="greaterThan">
      <formula>$E$60</formula>
    </cfRule>
  </conditionalFormatting>
  <conditionalFormatting sqref="E64">
    <cfRule type="cellIs" dxfId="184" priority="38" operator="lessThan">
      <formula>$F$64</formula>
    </cfRule>
  </conditionalFormatting>
  <conditionalFormatting sqref="J24">
    <cfRule type="expression" dxfId="183" priority="37">
      <formula>$I$24="Yes"</formula>
    </cfRule>
  </conditionalFormatting>
  <conditionalFormatting sqref="F39:J44">
    <cfRule type="expression" dxfId="182" priority="36">
      <formula>$I$24="Yes"</formula>
    </cfRule>
  </conditionalFormatting>
  <conditionalFormatting sqref="F45">
    <cfRule type="expression" dxfId="181" priority="35">
      <formula>$I$24="No"</formula>
    </cfRule>
  </conditionalFormatting>
  <conditionalFormatting sqref="G45:H45">
    <cfRule type="expression" dxfId="180" priority="34">
      <formula>$I$24="No"</formula>
    </cfRule>
  </conditionalFormatting>
  <conditionalFormatting sqref="I20:J20">
    <cfRule type="cellIs" dxfId="179" priority="23" operator="lessThan">
      <formula>0.9</formula>
    </cfRule>
    <cfRule type="cellIs" dxfId="178" priority="24" operator="greaterThan">
      <formula>1.1</formula>
    </cfRule>
    <cfRule type="cellIs" dxfId="177" priority="33" operator="between">
      <formula>0.9</formula>
      <formula>1.1</formula>
    </cfRule>
  </conditionalFormatting>
  <conditionalFormatting sqref="I56">
    <cfRule type="expression" dxfId="176" priority="29">
      <formula>$I$53&gt;=100%</formula>
    </cfRule>
    <cfRule type="expression" dxfId="175" priority="30">
      <formula>$I$53&lt;100%</formula>
    </cfRule>
  </conditionalFormatting>
  <conditionalFormatting sqref="G56">
    <cfRule type="expression" dxfId="174" priority="28">
      <formula>$G$53&gt;=90%</formula>
    </cfRule>
    <cfRule type="expression" dxfId="173" priority="32">
      <formula>$G$53&lt;90%</formula>
    </cfRule>
  </conditionalFormatting>
  <conditionalFormatting sqref="H56">
    <cfRule type="expression" dxfId="172" priority="27">
      <formula>$H$53&gt;=90%</formula>
    </cfRule>
    <cfRule type="expression" dxfId="171" priority="31">
      <formula>$H$53&lt;90%</formula>
    </cfRule>
  </conditionalFormatting>
  <conditionalFormatting sqref="H64">
    <cfRule type="cellIs" dxfId="17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169" priority="15">
      <formula>$G$13="Furnace Only"</formula>
    </cfRule>
  </conditionalFormatting>
  <conditionalFormatting sqref="J28:J33">
    <cfRule type="cellIs" dxfId="168" priority="20" operator="greaterThan">
      <formula>1</formula>
    </cfRule>
  </conditionalFormatting>
  <conditionalFormatting sqref="G32:G33">
    <cfRule type="expression" dxfId="167" priority="18">
      <formula>$G$28=""</formula>
    </cfRule>
    <cfRule type="cellIs" dxfId="166" priority="21" operator="greaterThan">
      <formula>$G$28</formula>
    </cfRule>
  </conditionalFormatting>
  <conditionalFormatting sqref="G43:G44">
    <cfRule type="expression" dxfId="165" priority="16">
      <formula>$G$43=""</formula>
    </cfRule>
    <cfRule type="cellIs" dxfId="164" priority="19" operator="greaterThan">
      <formula>$G$39</formula>
    </cfRule>
  </conditionalFormatting>
  <conditionalFormatting sqref="J28:J33 J39:J44">
    <cfRule type="expression" dxfId="163" priority="14">
      <formula>$J$28="N/A"</formula>
    </cfRule>
  </conditionalFormatting>
  <conditionalFormatting sqref="G32:G33 G43:G44">
    <cfRule type="expression" dxfId="162" priority="13">
      <formula>$I$24="Yes"</formula>
    </cfRule>
  </conditionalFormatting>
  <conditionalFormatting sqref="F32:F33">
    <cfRule type="cellIs" dxfId="161" priority="12" operator="greaterThan">
      <formula>$F$30</formula>
    </cfRule>
  </conditionalFormatting>
  <conditionalFormatting sqref="C15:J15 I17:J17 B62:I64 B61:J61 B58:G60">
    <cfRule type="expression" dxfId="160" priority="11">
      <formula>$G$13="A/C Only"</formula>
    </cfRule>
  </conditionalFormatting>
  <conditionalFormatting sqref="C15:J15 B62:I64">
    <cfRule type="expression" dxfId="159" priority="10">
      <formula>$G$13="Heat Pump"</formula>
    </cfRule>
  </conditionalFormatting>
  <conditionalFormatting sqref="I17:J17 B58:G60">
    <cfRule type="expression" dxfId="158" priority="9">
      <formula>$G$13="Furnace + A/C"</formula>
    </cfRule>
  </conditionalFormatting>
  <conditionalFormatting sqref="J62:J64">
    <cfRule type="expression" dxfId="157" priority="8">
      <formula>$G$13="A/C Only"</formula>
    </cfRule>
  </conditionalFormatting>
  <conditionalFormatting sqref="J62:J64">
    <cfRule type="expression" dxfId="156" priority="7">
      <formula>$G$13="Heat Pump"</formula>
    </cfRule>
  </conditionalFormatting>
  <conditionalFormatting sqref="L62:L64">
    <cfRule type="expression" dxfId="155" priority="6">
      <formula>$G$13="A/C Only"</formula>
    </cfRule>
  </conditionalFormatting>
  <conditionalFormatting sqref="L62:L64">
    <cfRule type="expression" dxfId="154" priority="5">
      <formula>$G$13="Heat Pump"</formula>
    </cfRule>
  </conditionalFormatting>
  <conditionalFormatting sqref="H51">
    <cfRule type="expression" dxfId="153" priority="4">
      <formula>$I$51&lt;0</formula>
    </cfRule>
  </conditionalFormatting>
  <conditionalFormatting sqref="G50:H52">
    <cfRule type="expression" dxfId="152" priority="3">
      <formula>$G$13="Furnace Only"</formula>
    </cfRule>
  </conditionalFormatting>
  <conditionalFormatting sqref="J56">
    <cfRule type="expression" dxfId="151" priority="2">
      <formula>$G$13="Furnace Only"</formula>
    </cfRule>
  </conditionalFormatting>
  <conditionalFormatting sqref="H58:J60">
    <cfRule type="expression" dxfId="150" priority="1">
      <formula>$G$13="A/C Only"</formula>
    </cfRule>
  </conditionalFormatting>
  <dataValidations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A00-000000000000}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A00-000001000000}">
      <formula1>H34&lt;G34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A00-000002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A00-000003000000}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A00-000004000000}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A00-000005000000}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A00-000006000000}">
      <formula1>F32&lt;F30</formula1>
    </dataValidation>
    <dataValidation type="custom" allowBlank="1" showInputMessage="1" showErrorMessage="1" errorTitle="INCORRECT # ENTERED" error="The sensible capacity should be less than the total capacity." sqref="H43" xr:uid="{00000000-0002-0000-0A00-000007000000}">
      <formula1>H43&lt;=G43</formula1>
    </dataValidation>
    <dataValidation type="custom" allowBlank="1" showInputMessage="1" showErrorMessage="1" errorTitle="INCORRECT # ENTERED" error="The heat pump capacity @ 47 should be larger than the capacity @ 17." sqref="E60" xr:uid="{00000000-0002-0000-0A00-000008000000}">
      <formula1>E60&gt;F60</formula1>
    </dataValidation>
    <dataValidation type="custom" allowBlank="1" showInputMessage="1" showErrorMessage="1" errorTitle="INCORRECT # ENTERED" error="The furnace's input capacity should be larger than the output capacity." sqref="E64" xr:uid="{00000000-0002-0000-0A00-000009000000}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A00-00000A000000}">
      <formula1>C24&lt;=F64</formula1>
    </dataValidation>
    <dataValidation type="custom" allowBlank="1" showInputMessage="1" showErrorMessage="1" errorTitle="INCORRECT # ENTERED" error="The sensible capacity should be less than the total capacity." sqref="H39 E24:F24" xr:uid="{00000000-0002-0000-0A00-00000B000000}">
      <formula1>E24&lt;D24</formula1>
    </dataValidation>
    <dataValidation type="custom" allowBlank="1" showInputMessage="1" showErrorMessage="1" errorTitle="INVALID # ENTERED" error="This # should be lessr-than or equal-to the outdoor design temperature (Cell J-7)." sqref="C26" xr:uid="{00000000-0002-0000-0A00-00000C000000}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A00-00000D000000}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 x14ac:dyDescent="0.2"/>
    <row r="2" spans="2:10" ht="15" customHeight="1" x14ac:dyDescent="0.2">
      <c r="B2" s="149" t="s">
        <v>91</v>
      </c>
      <c r="C2" s="95"/>
      <c r="F2" s="81"/>
      <c r="G2" s="81"/>
      <c r="H2" s="81"/>
    </row>
    <row r="3" spans="2:10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0" ht="15" customHeight="1" x14ac:dyDescent="0.2">
      <c r="B4" s="148" t="e">
        <f>#REF!</f>
        <v>#REF!</v>
      </c>
      <c r="C4" s="94"/>
      <c r="F4" s="82"/>
      <c r="G4" s="82"/>
      <c r="H4" s="82"/>
    </row>
    <row r="5" spans="2:10" ht="19.5" customHeight="1" x14ac:dyDescent="0.2">
      <c r="I5" s="66"/>
      <c r="J5" s="66"/>
    </row>
    <row r="6" spans="2:10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</row>
    <row r="7" spans="2:10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</row>
    <row r="8" spans="2:10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</row>
    <row r="9" spans="2:10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</row>
    <row r="10" spans="2:10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</row>
    <row r="11" spans="2:10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</row>
    <row r="12" spans="2:10" ht="7.5" customHeight="1" thickBot="1" x14ac:dyDescent="0.25">
      <c r="G12" s="79"/>
      <c r="H12" s="79"/>
      <c r="I12" s="79"/>
      <c r="J12" s="45"/>
    </row>
    <row r="13" spans="2:10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0" ht="8.25" customHeight="1" x14ac:dyDescent="0.2">
      <c r="B14" s="105"/>
      <c r="C14" s="104"/>
      <c r="D14" s="104"/>
      <c r="E14" s="103"/>
      <c r="F14" s="105"/>
      <c r="G14" s="104"/>
      <c r="H14" s="104"/>
    </row>
    <row r="15" spans="2:10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/>
    </row>
    <row r="16" spans="2:10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>
        <f>Data!T19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s">
        <v>72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2"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D37:D38"/>
    <mergeCell ref="B31:D31"/>
    <mergeCell ref="B32:D32"/>
    <mergeCell ref="B33:D33"/>
    <mergeCell ref="B34:D34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C13:E13"/>
    <mergeCell ref="G13:J13"/>
    <mergeCell ref="I18:J18"/>
    <mergeCell ref="F15:H15"/>
    <mergeCell ref="F16:H16"/>
  </mergeCells>
  <conditionalFormatting sqref="J39:J44">
    <cfRule type="cellIs" dxfId="149" priority="17" operator="greaterThan">
      <formula>1</formula>
    </cfRule>
  </conditionalFormatting>
  <conditionalFormatting sqref="I53">
    <cfRule type="cellIs" dxfId="148" priority="47" operator="greaterThanOrEqual">
      <formula>1</formula>
    </cfRule>
    <cfRule type="cellIs" dxfId="147" priority="48" operator="lessThan">
      <formula>1</formula>
    </cfRule>
  </conditionalFormatting>
  <conditionalFormatting sqref="G53">
    <cfRule type="cellIs" dxfId="146" priority="25" operator="greaterThan">
      <formula>1.25</formula>
    </cfRule>
    <cfRule type="cellIs" dxfId="145" priority="26" operator="greaterThan">
      <formula>1.15</formula>
    </cfRule>
    <cfRule type="cellIs" dxfId="144" priority="50" operator="lessThan">
      <formula>0.9</formula>
    </cfRule>
  </conditionalFormatting>
  <conditionalFormatting sqref="H53">
    <cfRule type="cellIs" dxfId="143" priority="49" operator="lessThan">
      <formula>0.9</formula>
    </cfRule>
  </conditionalFormatting>
  <conditionalFormatting sqref="G53:H53">
    <cfRule type="cellIs" dxfId="142" priority="46" operator="greaterThanOrEqual">
      <formula>0.9</formula>
    </cfRule>
  </conditionalFormatting>
  <conditionalFormatting sqref="B28:D33 B39:D44 F28:J33">
    <cfRule type="expression" dxfId="141" priority="45">
      <formula>$I$24="Yes"</formula>
    </cfRule>
  </conditionalFormatting>
  <conditionalFormatting sqref="B34:D34 F34:J34 B45:D45 I45:J45">
    <cfRule type="expression" dxfId="140" priority="44">
      <formula>$I$24="No"</formula>
    </cfRule>
  </conditionalFormatting>
  <conditionalFormatting sqref="I51">
    <cfRule type="expression" dxfId="139" priority="43">
      <formula>$I$51&lt;0</formula>
    </cfRule>
  </conditionalFormatting>
  <conditionalFormatting sqref="C26">
    <cfRule type="cellIs" dxfId="138" priority="42" operator="greaterThan">
      <formula>$J$7</formula>
    </cfRule>
  </conditionalFormatting>
  <conditionalFormatting sqref="C37">
    <cfRule type="cellIs" dxfId="137" priority="41" operator="lessThan">
      <formula>$J$7</formula>
    </cfRule>
  </conditionalFormatting>
  <conditionalFormatting sqref="E60">
    <cfRule type="cellIs" dxfId="136" priority="40" operator="lessThan">
      <formula>$F$60</formula>
    </cfRule>
  </conditionalFormatting>
  <conditionalFormatting sqref="F60">
    <cfRule type="cellIs" dxfId="135" priority="39" operator="greaterThan">
      <formula>$E$60</formula>
    </cfRule>
  </conditionalFormatting>
  <conditionalFormatting sqref="E64">
    <cfRule type="cellIs" dxfId="134" priority="38" operator="lessThan">
      <formula>$F$64</formula>
    </cfRule>
  </conditionalFormatting>
  <conditionalFormatting sqref="J24">
    <cfRule type="expression" dxfId="133" priority="37">
      <formula>$I$24="Yes"</formula>
    </cfRule>
  </conditionalFormatting>
  <conditionalFormatting sqref="F39:J44">
    <cfRule type="expression" dxfId="132" priority="36">
      <formula>$I$24="Yes"</formula>
    </cfRule>
  </conditionalFormatting>
  <conditionalFormatting sqref="F45">
    <cfRule type="expression" dxfId="131" priority="35">
      <formula>$I$24="No"</formula>
    </cfRule>
  </conditionalFormatting>
  <conditionalFormatting sqref="G45:H45">
    <cfRule type="expression" dxfId="130" priority="34">
      <formula>$I$24="No"</formula>
    </cfRule>
  </conditionalFormatting>
  <conditionalFormatting sqref="I20:J20">
    <cfRule type="cellIs" dxfId="129" priority="23" operator="lessThan">
      <formula>0.9</formula>
    </cfRule>
    <cfRule type="cellIs" dxfId="128" priority="24" operator="greaterThan">
      <formula>1.1</formula>
    </cfRule>
    <cfRule type="cellIs" dxfId="127" priority="33" operator="between">
      <formula>0.9</formula>
      <formula>1.1</formula>
    </cfRule>
  </conditionalFormatting>
  <conditionalFormatting sqref="I56">
    <cfRule type="expression" dxfId="126" priority="29">
      <formula>$I$53&gt;=100%</formula>
    </cfRule>
    <cfRule type="expression" dxfId="125" priority="30">
      <formula>$I$53&lt;100%</formula>
    </cfRule>
  </conditionalFormatting>
  <conditionalFormatting sqref="G56">
    <cfRule type="expression" dxfId="124" priority="28">
      <formula>$G$53&gt;=90%</formula>
    </cfRule>
    <cfRule type="expression" dxfId="123" priority="32">
      <formula>$G$53&lt;90%</formula>
    </cfRule>
  </conditionalFormatting>
  <conditionalFormatting sqref="H56">
    <cfRule type="expression" dxfId="122" priority="27">
      <formula>$H$53&gt;=90%</formula>
    </cfRule>
    <cfRule type="expression" dxfId="121" priority="31">
      <formula>$H$53&lt;90%</formula>
    </cfRule>
  </conditionalFormatting>
  <conditionalFormatting sqref="H64">
    <cfRule type="cellIs" dxfId="1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119" priority="15">
      <formula>$G$13="Furnace Only"</formula>
    </cfRule>
  </conditionalFormatting>
  <conditionalFormatting sqref="J28:J33">
    <cfRule type="cellIs" dxfId="118" priority="20" operator="greaterThan">
      <formula>1</formula>
    </cfRule>
  </conditionalFormatting>
  <conditionalFormatting sqref="G32:G33">
    <cfRule type="expression" dxfId="117" priority="18">
      <formula>$G$28=""</formula>
    </cfRule>
    <cfRule type="cellIs" dxfId="116" priority="21" operator="greaterThan">
      <formula>$G$28</formula>
    </cfRule>
  </conditionalFormatting>
  <conditionalFormatting sqref="G43:G44">
    <cfRule type="expression" dxfId="115" priority="16">
      <formula>$G$43=""</formula>
    </cfRule>
    <cfRule type="cellIs" dxfId="114" priority="19" operator="greaterThan">
      <formula>$G$39</formula>
    </cfRule>
  </conditionalFormatting>
  <conditionalFormatting sqref="J28:J33 J39:J44">
    <cfRule type="expression" dxfId="113" priority="14">
      <formula>$J$28="N/A"</formula>
    </cfRule>
  </conditionalFormatting>
  <conditionalFormatting sqref="G32:G33 G43:G44">
    <cfRule type="expression" dxfId="112" priority="13">
      <formula>$I$24="Yes"</formula>
    </cfRule>
  </conditionalFormatting>
  <conditionalFormatting sqref="F32:F33">
    <cfRule type="cellIs" dxfId="111" priority="12" operator="greaterThan">
      <formula>$F$30</formula>
    </cfRule>
  </conditionalFormatting>
  <conditionalFormatting sqref="C15:J15 I17:J17 B62:I64 B61:J61 B58:G60">
    <cfRule type="expression" dxfId="110" priority="11">
      <formula>$G$13="A/C Only"</formula>
    </cfRule>
  </conditionalFormatting>
  <conditionalFormatting sqref="C15:J15 B62:I64">
    <cfRule type="expression" dxfId="109" priority="10">
      <formula>$G$13="Heat Pump"</formula>
    </cfRule>
  </conditionalFormatting>
  <conditionalFormatting sqref="I17:J17 B58:G60">
    <cfRule type="expression" dxfId="108" priority="9">
      <formula>$G$13="Furnace + A/C"</formula>
    </cfRule>
  </conditionalFormatting>
  <conditionalFormatting sqref="J62:J64">
    <cfRule type="expression" dxfId="107" priority="8">
      <formula>$G$13="A/C Only"</formula>
    </cfRule>
  </conditionalFormatting>
  <conditionalFormatting sqref="J62:J64">
    <cfRule type="expression" dxfId="106" priority="7">
      <formula>$G$13="Heat Pump"</formula>
    </cfRule>
  </conditionalFormatting>
  <conditionalFormatting sqref="L62:L64">
    <cfRule type="expression" dxfId="105" priority="6">
      <formula>$G$13="A/C Only"</formula>
    </cfRule>
  </conditionalFormatting>
  <conditionalFormatting sqref="L62:L64">
    <cfRule type="expression" dxfId="104" priority="5">
      <formula>$G$13="Heat Pump"</formula>
    </cfRule>
  </conditionalFormatting>
  <conditionalFormatting sqref="H51">
    <cfRule type="expression" dxfId="103" priority="4">
      <formula>$I$51&lt;0</formula>
    </cfRule>
  </conditionalFormatting>
  <conditionalFormatting sqref="G50:H52">
    <cfRule type="expression" dxfId="102" priority="3">
      <formula>$G$13="Furnace Only"</formula>
    </cfRule>
  </conditionalFormatting>
  <conditionalFormatting sqref="J56">
    <cfRule type="expression" dxfId="101" priority="2">
      <formula>$G$13="Furnace Only"</formula>
    </cfRule>
  </conditionalFormatting>
  <conditionalFormatting sqref="H58:J60">
    <cfRule type="expression" dxfId="10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 xr:uid="{00000000-0002-0000-0B00-000000000000}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B00-000001000000}">
      <formula1>C24&lt;=F64</formula1>
    </dataValidation>
    <dataValidation type="custom" allowBlank="1" showInputMessage="1" showErrorMessage="1" errorTitle="INCORRECT # ENTERED" error="The furnace's input capacity should be larger than the output capacity." sqref="E64" xr:uid="{00000000-0002-0000-0B00-000002000000}">
      <formula1>E64&gt;F64</formula1>
    </dataValidation>
    <dataValidation type="custom" allowBlank="1" showInputMessage="1" showErrorMessage="1" errorTitle="INCORRECT # ENTERED" error="The heat pump capacity @ 47 should be larger than the capacity @ 17." sqref="E60" xr:uid="{00000000-0002-0000-0B00-000003000000}">
      <formula1>E60&gt;F60</formula1>
    </dataValidation>
    <dataValidation type="custom" allowBlank="1" showInputMessage="1" showErrorMessage="1" errorTitle="INCORRECT # ENTERED" error="The sensible capacity should be less than the total capacity." sqref="H43" xr:uid="{00000000-0002-0000-0B00-000004000000}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B00-000005000000}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B00-000006000000}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B00-000007000000}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B00-000008000000}">
      <formula1>H45&lt;G45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B00-000009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B00-00000A000000}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B00-00000B000000}">
      <formula1>70</formula1>
      <formula2>80</formula2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B00-00000C000000}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 xr:uid="{00000000-0002-0000-0B00-00000D000000}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 x14ac:dyDescent="0.2"/>
    <row r="2" spans="2:10" ht="15" customHeight="1" x14ac:dyDescent="0.2">
      <c r="B2" s="149" t="s">
        <v>91</v>
      </c>
      <c r="C2" s="95"/>
      <c r="F2" s="81"/>
      <c r="G2" s="81"/>
      <c r="H2" s="81"/>
    </row>
    <row r="3" spans="2:10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0" ht="15" customHeight="1" x14ac:dyDescent="0.2">
      <c r="B4" s="148" t="e">
        <f>#REF!</f>
        <v>#REF!</v>
      </c>
      <c r="C4" s="94"/>
      <c r="F4" s="82"/>
      <c r="G4" s="82"/>
      <c r="H4" s="82"/>
    </row>
    <row r="5" spans="2:10" ht="19.5" customHeight="1" x14ac:dyDescent="0.2">
      <c r="I5" s="66"/>
      <c r="J5" s="66"/>
    </row>
    <row r="6" spans="2:10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</row>
    <row r="7" spans="2:10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</row>
    <row r="8" spans="2:10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</row>
    <row r="9" spans="2:10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</row>
    <row r="10" spans="2:10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</row>
    <row r="11" spans="2:10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</row>
    <row r="12" spans="2:10" ht="7.5" customHeight="1" thickBot="1" x14ac:dyDescent="0.25">
      <c r="G12" s="79"/>
      <c r="H12" s="79"/>
      <c r="I12" s="79"/>
      <c r="J12" s="45"/>
    </row>
    <row r="13" spans="2:10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0" ht="8.25" customHeight="1" x14ac:dyDescent="0.2">
      <c r="B14" s="105"/>
      <c r="C14" s="104"/>
      <c r="D14" s="104"/>
      <c r="E14" s="103"/>
      <c r="F14" s="105"/>
      <c r="G14" s="104"/>
      <c r="H14" s="104"/>
    </row>
    <row r="15" spans="2:10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/>
    </row>
    <row r="16" spans="2:10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>
        <f>Data!U17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s">
        <v>72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2"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D37:D38"/>
    <mergeCell ref="B31:D31"/>
    <mergeCell ref="B32:D32"/>
    <mergeCell ref="B33:D33"/>
    <mergeCell ref="B34:D34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C13:E13"/>
    <mergeCell ref="G13:J13"/>
    <mergeCell ref="I18:J18"/>
    <mergeCell ref="F15:H15"/>
    <mergeCell ref="F16:H16"/>
  </mergeCells>
  <conditionalFormatting sqref="J39:J44">
    <cfRule type="cellIs" dxfId="99" priority="17" operator="greaterThan">
      <formula>1</formula>
    </cfRule>
  </conditionalFormatting>
  <conditionalFormatting sqref="I53">
    <cfRule type="cellIs" dxfId="98" priority="47" operator="greaterThanOrEqual">
      <formula>1</formula>
    </cfRule>
    <cfRule type="cellIs" dxfId="97" priority="48" operator="lessThan">
      <formula>1</formula>
    </cfRule>
  </conditionalFormatting>
  <conditionalFormatting sqref="G53">
    <cfRule type="cellIs" dxfId="96" priority="25" operator="greaterThan">
      <formula>1.25</formula>
    </cfRule>
    <cfRule type="cellIs" dxfId="95" priority="26" operator="greaterThan">
      <formula>1.15</formula>
    </cfRule>
    <cfRule type="cellIs" dxfId="94" priority="50" operator="lessThan">
      <formula>0.9</formula>
    </cfRule>
  </conditionalFormatting>
  <conditionalFormatting sqref="H53">
    <cfRule type="cellIs" dxfId="93" priority="49" operator="lessThan">
      <formula>0.9</formula>
    </cfRule>
  </conditionalFormatting>
  <conditionalFormatting sqref="G53:H53">
    <cfRule type="cellIs" dxfId="92" priority="46" operator="greaterThanOrEqual">
      <formula>0.9</formula>
    </cfRule>
  </conditionalFormatting>
  <conditionalFormatting sqref="B28:D33 B39:D44 F28:J33">
    <cfRule type="expression" dxfId="91" priority="45">
      <formula>$I$24="Yes"</formula>
    </cfRule>
  </conditionalFormatting>
  <conditionalFormatting sqref="B34:D34 F34:J34 B45:D45 I45:J45">
    <cfRule type="expression" dxfId="90" priority="44">
      <formula>$I$24="No"</formula>
    </cfRule>
  </conditionalFormatting>
  <conditionalFormatting sqref="I51">
    <cfRule type="expression" dxfId="89" priority="43">
      <formula>$I$51&lt;0</formula>
    </cfRule>
  </conditionalFormatting>
  <conditionalFormatting sqref="C26">
    <cfRule type="cellIs" dxfId="88" priority="42" operator="greaterThan">
      <formula>$J$7</formula>
    </cfRule>
  </conditionalFormatting>
  <conditionalFormatting sqref="C37">
    <cfRule type="cellIs" dxfId="87" priority="41" operator="lessThan">
      <formula>$J$7</formula>
    </cfRule>
  </conditionalFormatting>
  <conditionalFormatting sqref="E60">
    <cfRule type="cellIs" dxfId="86" priority="40" operator="lessThan">
      <formula>$F$60</formula>
    </cfRule>
  </conditionalFormatting>
  <conditionalFormatting sqref="F60">
    <cfRule type="cellIs" dxfId="85" priority="39" operator="greaterThan">
      <formula>$E$60</formula>
    </cfRule>
  </conditionalFormatting>
  <conditionalFormatting sqref="E64">
    <cfRule type="cellIs" dxfId="84" priority="38" operator="lessThan">
      <formula>$F$64</formula>
    </cfRule>
  </conditionalFormatting>
  <conditionalFormatting sqref="J24">
    <cfRule type="expression" dxfId="83" priority="37">
      <formula>$I$24="Yes"</formula>
    </cfRule>
  </conditionalFormatting>
  <conditionalFormatting sqref="F39:J44">
    <cfRule type="expression" dxfId="82" priority="36">
      <formula>$I$24="Yes"</formula>
    </cfRule>
  </conditionalFormatting>
  <conditionalFormatting sqref="F45">
    <cfRule type="expression" dxfId="81" priority="35">
      <formula>$I$24="No"</formula>
    </cfRule>
  </conditionalFormatting>
  <conditionalFormatting sqref="G45:H45">
    <cfRule type="expression" dxfId="80" priority="34">
      <formula>$I$24="No"</formula>
    </cfRule>
  </conditionalFormatting>
  <conditionalFormatting sqref="I20:J20">
    <cfRule type="cellIs" dxfId="79" priority="23" operator="lessThan">
      <formula>0.9</formula>
    </cfRule>
    <cfRule type="cellIs" dxfId="78" priority="24" operator="greaterThan">
      <formula>1.1</formula>
    </cfRule>
    <cfRule type="cellIs" dxfId="77" priority="33" operator="between">
      <formula>0.9</formula>
      <formula>1.1</formula>
    </cfRule>
  </conditionalFormatting>
  <conditionalFormatting sqref="I56">
    <cfRule type="expression" dxfId="76" priority="29">
      <formula>$I$53&gt;=100%</formula>
    </cfRule>
    <cfRule type="expression" dxfId="75" priority="30">
      <formula>$I$53&lt;100%</formula>
    </cfRule>
  </conditionalFormatting>
  <conditionalFormatting sqref="G56">
    <cfRule type="expression" dxfId="74" priority="28">
      <formula>$G$53&gt;=90%</formula>
    </cfRule>
    <cfRule type="expression" dxfId="73" priority="32">
      <formula>$G$53&lt;90%</formula>
    </cfRule>
  </conditionalFormatting>
  <conditionalFormatting sqref="H56">
    <cfRule type="expression" dxfId="72" priority="27">
      <formula>$H$53&gt;=90%</formula>
    </cfRule>
    <cfRule type="expression" dxfId="71" priority="31">
      <formula>$H$53&lt;90%</formula>
    </cfRule>
  </conditionalFormatting>
  <conditionalFormatting sqref="H64">
    <cfRule type="cellIs" dxfId="7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69" priority="15">
      <formula>$G$13="Furnace Only"</formula>
    </cfRule>
  </conditionalFormatting>
  <conditionalFormatting sqref="J28:J33">
    <cfRule type="cellIs" dxfId="68" priority="20" operator="greaterThan">
      <formula>1</formula>
    </cfRule>
  </conditionalFormatting>
  <conditionalFormatting sqref="G32:G33">
    <cfRule type="expression" dxfId="67" priority="18">
      <formula>$G$28=""</formula>
    </cfRule>
    <cfRule type="cellIs" dxfId="66" priority="21" operator="greaterThan">
      <formula>$G$28</formula>
    </cfRule>
  </conditionalFormatting>
  <conditionalFormatting sqref="G43:G44">
    <cfRule type="expression" dxfId="65" priority="16">
      <formula>$G$43=""</formula>
    </cfRule>
    <cfRule type="cellIs" dxfId="64" priority="19" operator="greaterThan">
      <formula>$G$39</formula>
    </cfRule>
  </conditionalFormatting>
  <conditionalFormatting sqref="J28:J33 J39:J44">
    <cfRule type="expression" dxfId="63" priority="14">
      <formula>$J$28="N/A"</formula>
    </cfRule>
  </conditionalFormatting>
  <conditionalFormatting sqref="G32:G33 G43:G44">
    <cfRule type="expression" dxfId="62" priority="13">
      <formula>$I$24="Yes"</formula>
    </cfRule>
  </conditionalFormatting>
  <conditionalFormatting sqref="F32:F33">
    <cfRule type="cellIs" dxfId="61" priority="12" operator="greaterThan">
      <formula>$F$30</formula>
    </cfRule>
  </conditionalFormatting>
  <conditionalFormatting sqref="C15:J15 I17:J17 B62:I64 B61:J61 B58:G60">
    <cfRule type="expression" dxfId="60" priority="11">
      <formula>$G$13="A/C Only"</formula>
    </cfRule>
  </conditionalFormatting>
  <conditionalFormatting sqref="C15:J15 B62:I64">
    <cfRule type="expression" dxfId="59" priority="10">
      <formula>$G$13="Heat Pump"</formula>
    </cfRule>
  </conditionalFormatting>
  <conditionalFormatting sqref="I17:J17 B58:G60">
    <cfRule type="expression" dxfId="58" priority="9">
      <formula>$G$13="Furnace + A/C"</formula>
    </cfRule>
  </conditionalFormatting>
  <conditionalFormatting sqref="J62:J64">
    <cfRule type="expression" dxfId="57" priority="8">
      <formula>$G$13="A/C Only"</formula>
    </cfRule>
  </conditionalFormatting>
  <conditionalFormatting sqref="J62:J64">
    <cfRule type="expression" dxfId="56" priority="7">
      <formula>$G$13="Heat Pump"</formula>
    </cfRule>
  </conditionalFormatting>
  <conditionalFormatting sqref="L62:L64">
    <cfRule type="expression" dxfId="55" priority="6">
      <formula>$G$13="A/C Only"</formula>
    </cfRule>
  </conditionalFormatting>
  <conditionalFormatting sqref="L62:L64">
    <cfRule type="expression" dxfId="54" priority="5">
      <formula>$G$13="Heat Pump"</formula>
    </cfRule>
  </conditionalFormatting>
  <conditionalFormatting sqref="H51">
    <cfRule type="expression" dxfId="53" priority="4">
      <formula>$I$51&lt;0</formula>
    </cfRule>
  </conditionalFormatting>
  <conditionalFormatting sqref="G50:H52">
    <cfRule type="expression" dxfId="52" priority="3">
      <formula>$G$13="Furnace Only"</formula>
    </cfRule>
  </conditionalFormatting>
  <conditionalFormatting sqref="J56">
    <cfRule type="expression" dxfId="51" priority="2">
      <formula>$G$13="Furnace Only"</formula>
    </cfRule>
  </conditionalFormatting>
  <conditionalFormatting sqref="H58:J60">
    <cfRule type="expression" dxfId="5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 xr:uid="{00000000-0002-0000-0C00-000000000000}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C00-000001000000}">
      <formula1>C24&lt;=F64</formula1>
    </dataValidation>
    <dataValidation type="custom" allowBlank="1" showInputMessage="1" showErrorMessage="1" errorTitle="INCORRECT # ENTERED" error="The furnace's input capacity should be larger than the output capacity." sqref="E64" xr:uid="{00000000-0002-0000-0C00-000002000000}">
      <formula1>E64&gt;F64</formula1>
    </dataValidation>
    <dataValidation type="custom" allowBlank="1" showInputMessage="1" showErrorMessage="1" errorTitle="INCORRECT # ENTERED" error="The heat pump capacity @ 47 should be larger than the capacity @ 17." sqref="E60" xr:uid="{00000000-0002-0000-0C00-000003000000}">
      <formula1>E60&gt;F60</formula1>
    </dataValidation>
    <dataValidation type="custom" allowBlank="1" showInputMessage="1" showErrorMessage="1" errorTitle="INCORRECT # ENTERED" error="The sensible capacity should be less than the total capacity." sqref="H43" xr:uid="{00000000-0002-0000-0C00-000004000000}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C00-000005000000}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C00-000006000000}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C00-000007000000}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C00-000008000000}">
      <formula1>H45&lt;G45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C00-000009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C00-00000A000000}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C00-00000B000000}">
      <formula1>70</formula1>
      <formula2>80</formula2>
    </dataValidation>
    <dataValidation type="custom" allowBlank="1" showInputMessage="1" showErrorMessage="1" errorTitle="INVALID # ENTERED" error="This # should be lessr-than or equal-to the outdoor design temperature (Cell J-7)." sqref="C26" xr:uid="{00000000-0002-0000-0C00-00000C000000}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C00-00000D000000}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 x14ac:dyDescent="0.2"/>
    <row r="2" spans="2:10" ht="15" customHeight="1" x14ac:dyDescent="0.2">
      <c r="B2" s="149" t="s">
        <v>91</v>
      </c>
      <c r="C2" s="95"/>
      <c r="F2" s="81"/>
      <c r="G2" s="81"/>
      <c r="H2" s="81"/>
    </row>
    <row r="3" spans="2:10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0" ht="15" customHeight="1" x14ac:dyDescent="0.2">
      <c r="B4" s="148" t="e">
        <f>#REF!</f>
        <v>#REF!</v>
      </c>
      <c r="C4" s="94"/>
      <c r="F4" s="82"/>
      <c r="G4" s="82"/>
      <c r="H4" s="82"/>
    </row>
    <row r="5" spans="2:10" ht="19.5" customHeight="1" x14ac:dyDescent="0.2">
      <c r="I5" s="66"/>
      <c r="J5" s="66"/>
    </row>
    <row r="6" spans="2:10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</row>
    <row r="7" spans="2:10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</row>
    <row r="8" spans="2:10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</row>
    <row r="9" spans="2:10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</row>
    <row r="10" spans="2:10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</row>
    <row r="11" spans="2:10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</row>
    <row r="12" spans="2:10" ht="7.5" customHeight="1" thickBot="1" x14ac:dyDescent="0.25">
      <c r="G12" s="79"/>
      <c r="H12" s="79"/>
      <c r="I12" s="79"/>
      <c r="J12" s="45"/>
    </row>
    <row r="13" spans="2:10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0" ht="8.25" customHeight="1" x14ac:dyDescent="0.2">
      <c r="B14" s="105"/>
      <c r="C14" s="104"/>
      <c r="D14" s="104"/>
      <c r="E14" s="103"/>
      <c r="F14" s="105"/>
      <c r="G14" s="104"/>
      <c r="H14" s="104"/>
    </row>
    <row r="15" spans="2:10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/>
    </row>
    <row r="16" spans="2:10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>
        <f>Data!V16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s">
        <v>72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2"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D37:D38"/>
    <mergeCell ref="B31:D31"/>
    <mergeCell ref="B32:D32"/>
    <mergeCell ref="B33:D33"/>
    <mergeCell ref="B34:D34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C13:E13"/>
    <mergeCell ref="G13:J13"/>
    <mergeCell ref="I18:J18"/>
    <mergeCell ref="F15:H15"/>
    <mergeCell ref="F16:H16"/>
  </mergeCells>
  <conditionalFormatting sqref="J39:J44">
    <cfRule type="cellIs" dxfId="49" priority="17" operator="greaterThan">
      <formula>1</formula>
    </cfRule>
  </conditionalFormatting>
  <conditionalFormatting sqref="I53">
    <cfRule type="cellIs" dxfId="48" priority="47" operator="greaterThanOrEqual">
      <formula>1</formula>
    </cfRule>
    <cfRule type="cellIs" dxfId="47" priority="48" operator="lessThan">
      <formula>1</formula>
    </cfRule>
  </conditionalFormatting>
  <conditionalFormatting sqref="G53">
    <cfRule type="cellIs" dxfId="46" priority="25" operator="greaterThan">
      <formula>1.25</formula>
    </cfRule>
    <cfRule type="cellIs" dxfId="45" priority="26" operator="greaterThan">
      <formula>1.15</formula>
    </cfRule>
    <cfRule type="cellIs" dxfId="44" priority="50" operator="lessThan">
      <formula>0.9</formula>
    </cfRule>
  </conditionalFormatting>
  <conditionalFormatting sqref="H53">
    <cfRule type="cellIs" dxfId="43" priority="49" operator="lessThan">
      <formula>0.9</formula>
    </cfRule>
  </conditionalFormatting>
  <conditionalFormatting sqref="G53:H53">
    <cfRule type="cellIs" dxfId="42" priority="46" operator="greaterThanOrEqual">
      <formula>0.9</formula>
    </cfRule>
  </conditionalFormatting>
  <conditionalFormatting sqref="B28:D33 B39:D44 F28:J33">
    <cfRule type="expression" dxfId="41" priority="45">
      <formula>$I$24="Yes"</formula>
    </cfRule>
  </conditionalFormatting>
  <conditionalFormatting sqref="B34:D34 F34:J34 B45:D45 I45:J45">
    <cfRule type="expression" dxfId="40" priority="44">
      <formula>$I$24="No"</formula>
    </cfRule>
  </conditionalFormatting>
  <conditionalFormatting sqref="I51">
    <cfRule type="expression" dxfId="39" priority="43">
      <formula>$I$51&lt;0</formula>
    </cfRule>
  </conditionalFormatting>
  <conditionalFormatting sqref="C26">
    <cfRule type="cellIs" dxfId="38" priority="42" operator="greaterThan">
      <formula>$J$7</formula>
    </cfRule>
  </conditionalFormatting>
  <conditionalFormatting sqref="C37">
    <cfRule type="cellIs" dxfId="37" priority="41" operator="lessThan">
      <formula>$J$7</formula>
    </cfRule>
  </conditionalFormatting>
  <conditionalFormatting sqref="E60">
    <cfRule type="cellIs" dxfId="36" priority="40" operator="lessThan">
      <formula>$F$60</formula>
    </cfRule>
  </conditionalFormatting>
  <conditionalFormatting sqref="F60">
    <cfRule type="cellIs" dxfId="35" priority="39" operator="greaterThan">
      <formula>$E$60</formula>
    </cfRule>
  </conditionalFormatting>
  <conditionalFormatting sqref="E64">
    <cfRule type="cellIs" dxfId="34" priority="38" operator="lessThan">
      <formula>$F$64</formula>
    </cfRule>
  </conditionalFormatting>
  <conditionalFormatting sqref="J24">
    <cfRule type="expression" dxfId="33" priority="37">
      <formula>$I$24="Yes"</formula>
    </cfRule>
  </conditionalFormatting>
  <conditionalFormatting sqref="F39:J44">
    <cfRule type="expression" dxfId="32" priority="36">
      <formula>$I$24="Yes"</formula>
    </cfRule>
  </conditionalFormatting>
  <conditionalFormatting sqref="F45">
    <cfRule type="expression" dxfId="31" priority="35">
      <formula>$I$24="No"</formula>
    </cfRule>
  </conditionalFormatting>
  <conditionalFormatting sqref="G45:H45">
    <cfRule type="expression" dxfId="30" priority="34">
      <formula>$I$24="No"</formula>
    </cfRule>
  </conditionalFormatting>
  <conditionalFormatting sqref="I20:J20">
    <cfRule type="cellIs" dxfId="29" priority="23" operator="lessThan">
      <formula>0.9</formula>
    </cfRule>
    <cfRule type="cellIs" dxfId="28" priority="24" operator="greaterThan">
      <formula>1.1</formula>
    </cfRule>
    <cfRule type="cellIs" dxfId="27" priority="33" operator="between">
      <formula>0.9</formula>
      <formula>1.1</formula>
    </cfRule>
  </conditionalFormatting>
  <conditionalFormatting sqref="I56">
    <cfRule type="expression" dxfId="26" priority="29">
      <formula>$I$53&gt;=100%</formula>
    </cfRule>
    <cfRule type="expression" dxfId="25" priority="30">
      <formula>$I$53&lt;100%</formula>
    </cfRule>
  </conditionalFormatting>
  <conditionalFormatting sqref="G56">
    <cfRule type="expression" dxfId="24" priority="28">
      <formula>$G$53&gt;=90%</formula>
    </cfRule>
    <cfRule type="expression" dxfId="23" priority="32">
      <formula>$G$53&lt;90%</formula>
    </cfRule>
  </conditionalFormatting>
  <conditionalFormatting sqref="H56">
    <cfRule type="expression" dxfId="22" priority="27">
      <formula>$H$53&gt;=90%</formula>
    </cfRule>
    <cfRule type="expression" dxfId="21" priority="31">
      <formula>$H$53&lt;90%</formula>
    </cfRule>
  </conditionalFormatting>
  <conditionalFormatting sqref="H64">
    <cfRule type="cellIs" dxfId="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19" priority="15">
      <formula>$G$13="Furnace Only"</formula>
    </cfRule>
  </conditionalFormatting>
  <conditionalFormatting sqref="J28:J33">
    <cfRule type="cellIs" dxfId="18" priority="20" operator="greaterThan">
      <formula>1</formula>
    </cfRule>
  </conditionalFormatting>
  <conditionalFormatting sqref="G32:G33">
    <cfRule type="expression" dxfId="17" priority="18">
      <formula>$G$28=""</formula>
    </cfRule>
    <cfRule type="cellIs" dxfId="16" priority="21" operator="greaterThan">
      <formula>$G$28</formula>
    </cfRule>
  </conditionalFormatting>
  <conditionalFormatting sqref="G43:G44">
    <cfRule type="expression" dxfId="15" priority="16">
      <formula>$G$43=""</formula>
    </cfRule>
    <cfRule type="cellIs" dxfId="14" priority="19" operator="greaterThan">
      <formula>$G$39</formula>
    </cfRule>
  </conditionalFormatting>
  <conditionalFormatting sqref="J28:J33 J39:J44">
    <cfRule type="expression" dxfId="13" priority="14">
      <formula>$J$28="N/A"</formula>
    </cfRule>
  </conditionalFormatting>
  <conditionalFormatting sqref="G32:G33 G43:G44">
    <cfRule type="expression" dxfId="12" priority="13">
      <formula>$I$24="Yes"</formula>
    </cfRule>
  </conditionalFormatting>
  <conditionalFormatting sqref="F32:F33">
    <cfRule type="cellIs" dxfId="11" priority="12" operator="greaterThan">
      <formula>$F$30</formula>
    </cfRule>
  </conditionalFormatting>
  <conditionalFormatting sqref="C15:J15 I17:J17 B62:I64 B61:J61 B58:G60">
    <cfRule type="expression" dxfId="10" priority="11">
      <formula>$G$13="A/C Only"</formula>
    </cfRule>
  </conditionalFormatting>
  <conditionalFormatting sqref="C15:J15 B62:I64">
    <cfRule type="expression" dxfId="9" priority="10">
      <formula>$G$13="Heat Pump"</formula>
    </cfRule>
  </conditionalFormatting>
  <conditionalFormatting sqref="I17:J17 B58:G60">
    <cfRule type="expression" dxfId="8" priority="9">
      <formula>$G$13="Furnace + A/C"</formula>
    </cfRule>
  </conditionalFormatting>
  <conditionalFormatting sqref="J62:J64">
    <cfRule type="expression" dxfId="7" priority="8">
      <formula>$G$13="A/C Only"</formula>
    </cfRule>
  </conditionalFormatting>
  <conditionalFormatting sqref="J62:J64">
    <cfRule type="expression" dxfId="6" priority="7">
      <formula>$G$13="Heat Pump"</formula>
    </cfRule>
  </conditionalFormatting>
  <conditionalFormatting sqref="L62:L64">
    <cfRule type="expression" dxfId="5" priority="6">
      <formula>$G$13="A/C Only"</formula>
    </cfRule>
  </conditionalFormatting>
  <conditionalFormatting sqref="L62:L64">
    <cfRule type="expression" dxfId="4" priority="5">
      <formula>$G$13="Heat Pump"</formula>
    </cfRule>
  </conditionalFormatting>
  <conditionalFormatting sqref="H51">
    <cfRule type="expression" dxfId="3" priority="4">
      <formula>$I$51&lt;0</formula>
    </cfRule>
  </conditionalFormatting>
  <conditionalFormatting sqref="G50:H52">
    <cfRule type="expression" dxfId="2" priority="3">
      <formula>$G$13="Furnace Only"</formula>
    </cfRule>
  </conditionalFormatting>
  <conditionalFormatting sqref="J56">
    <cfRule type="expression" dxfId="1" priority="2">
      <formula>$G$13="Furnace Only"</formula>
    </cfRule>
  </conditionalFormatting>
  <conditionalFormatting sqref="H58:J60">
    <cfRule type="expression" dxfId="0" priority="1">
      <formula>$G$13="A/C Only"</formula>
    </cfRule>
  </conditionalFormatting>
  <dataValidations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D00-000000000000}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D00-000001000000}">
      <formula1>H34&lt;G34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D00-000002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D00-000003000000}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D00-000004000000}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D00-000005000000}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D00-000006000000}">
      <formula1>F32&lt;F30</formula1>
    </dataValidation>
    <dataValidation type="custom" allowBlank="1" showInputMessage="1" showErrorMessage="1" errorTitle="INCORRECT # ENTERED" error="The sensible capacity should be less than the total capacity." sqref="H43" xr:uid="{00000000-0002-0000-0D00-000007000000}">
      <formula1>H43&lt;=G43</formula1>
    </dataValidation>
    <dataValidation type="custom" allowBlank="1" showInputMessage="1" showErrorMessage="1" errorTitle="INCORRECT # ENTERED" error="The heat pump capacity @ 47 should be larger than the capacity @ 17." sqref="E60" xr:uid="{00000000-0002-0000-0D00-000008000000}">
      <formula1>E60&gt;F60</formula1>
    </dataValidation>
    <dataValidation type="custom" allowBlank="1" showInputMessage="1" showErrorMessage="1" errorTitle="INCORRECT # ENTERED" error="The furnace's input capacity should be larger than the output capacity." sqref="E64" xr:uid="{00000000-0002-0000-0D00-000009000000}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D00-00000A000000}">
      <formula1>C24&lt;=F64</formula1>
    </dataValidation>
    <dataValidation type="custom" allowBlank="1" showInputMessage="1" showErrorMessage="1" errorTitle="INCORRECT # ENTERED" error="The sensible capacity should be less than the total capacity." sqref="H39 E24:F24" xr:uid="{00000000-0002-0000-0D00-00000B000000}">
      <formula1>E24&lt;D24</formula1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D00-00000C000000}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 xr:uid="{00000000-0002-0000-0D00-00000D000000}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J59"/>
  <sheetViews>
    <sheetView showGridLines="0" showZeros="0" zoomScale="115" zoomScaleNormal="115" zoomScaleSheetLayoutView="100" workbookViewId="0">
      <selection activeCell="B5" sqref="B5:D5"/>
    </sheetView>
  </sheetViews>
  <sheetFormatPr defaultRowHeight="15" customHeight="1" x14ac:dyDescent="0.2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 x14ac:dyDescent="0.2"/>
    <row r="2" spans="1:10" ht="15" customHeight="1" x14ac:dyDescent="0.2">
      <c r="A2" s="238" t="s">
        <v>158</v>
      </c>
      <c r="B2" s="238"/>
      <c r="C2" s="238"/>
      <c r="D2" s="238"/>
      <c r="E2" s="238"/>
      <c r="F2" s="238"/>
      <c r="G2" s="238"/>
      <c r="H2" s="238"/>
      <c r="I2" s="238"/>
    </row>
    <row r="3" spans="1:10" ht="6.95" customHeight="1" x14ac:dyDescent="0.2">
      <c r="A3" s="148"/>
      <c r="B3" s="94"/>
      <c r="E3" s="82"/>
      <c r="F3" s="82"/>
      <c r="G3" s="82"/>
    </row>
    <row r="4" spans="1:10" ht="15" customHeight="1" x14ac:dyDescent="0.2">
      <c r="A4" s="239" t="s">
        <v>25</v>
      </c>
      <c r="B4" s="239"/>
      <c r="C4" s="239"/>
      <c r="D4" s="239"/>
      <c r="E4" s="167"/>
      <c r="F4" s="239" t="s">
        <v>33</v>
      </c>
      <c r="G4" s="239"/>
      <c r="H4" s="239"/>
      <c r="I4" s="239"/>
    </row>
    <row r="5" spans="1:10" ht="15" customHeight="1" x14ac:dyDescent="0.2">
      <c r="A5" s="168" t="s">
        <v>31</v>
      </c>
      <c r="B5" s="232"/>
      <c r="C5" s="232"/>
      <c r="D5" s="232"/>
      <c r="E5" s="167"/>
      <c r="F5" s="231" t="s">
        <v>27</v>
      </c>
      <c r="G5" s="231"/>
      <c r="H5" s="231"/>
      <c r="I5" s="169"/>
    </row>
    <row r="6" spans="1:10" ht="15" customHeight="1" x14ac:dyDescent="0.2">
      <c r="A6" s="168" t="s">
        <v>68</v>
      </c>
      <c r="B6" s="232"/>
      <c r="C6" s="232"/>
      <c r="D6" s="232"/>
      <c r="E6" s="167"/>
      <c r="F6" s="231" t="s">
        <v>28</v>
      </c>
      <c r="G6" s="231"/>
      <c r="H6" s="231"/>
      <c r="I6" s="169"/>
    </row>
    <row r="7" spans="1:10" ht="15" customHeight="1" x14ac:dyDescent="0.2">
      <c r="A7" s="168" t="s">
        <v>32</v>
      </c>
      <c r="B7" s="232"/>
      <c r="C7" s="232"/>
      <c r="D7" s="232"/>
      <c r="E7" s="167"/>
      <c r="F7" s="231" t="s">
        <v>29</v>
      </c>
      <c r="G7" s="231"/>
      <c r="H7" s="231"/>
      <c r="I7" s="169"/>
    </row>
    <row r="8" spans="1:10" ht="15" customHeight="1" x14ac:dyDescent="0.2">
      <c r="A8" s="168" t="s">
        <v>30</v>
      </c>
      <c r="B8" s="170"/>
      <c r="C8" s="171" t="s">
        <v>117</v>
      </c>
      <c r="D8" s="172"/>
      <c r="E8" s="167"/>
      <c r="F8" s="231" t="s">
        <v>26</v>
      </c>
      <c r="G8" s="231"/>
      <c r="H8" s="231"/>
      <c r="I8" s="169"/>
    </row>
    <row r="9" spans="1:10" ht="15" customHeight="1" x14ac:dyDescent="0.2">
      <c r="A9" s="168" t="s">
        <v>93</v>
      </c>
      <c r="B9" s="232"/>
      <c r="C9" s="232"/>
      <c r="D9" s="232"/>
      <c r="E9" s="167"/>
      <c r="F9" s="231" t="s">
        <v>89</v>
      </c>
      <c r="G9" s="231"/>
      <c r="H9" s="231"/>
      <c r="I9" s="169">
        <v>0</v>
      </c>
    </row>
    <row r="10" spans="1:10" ht="6.95" customHeight="1" x14ac:dyDescent="0.2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 x14ac:dyDescent="0.2">
      <c r="A11" s="250" t="s">
        <v>46</v>
      </c>
      <c r="B11" s="168" t="s">
        <v>75</v>
      </c>
      <c r="C11" s="233" t="s">
        <v>94</v>
      </c>
      <c r="D11" s="234"/>
      <c r="E11" s="234"/>
      <c r="F11" s="234"/>
      <c r="G11" s="234"/>
      <c r="H11" s="234"/>
      <c r="I11" s="235"/>
    </row>
    <row r="12" spans="1:10" ht="15" customHeight="1" x14ac:dyDescent="0.2">
      <c r="A12" s="253"/>
      <c r="B12" s="168" t="s">
        <v>34</v>
      </c>
      <c r="C12" s="176"/>
      <c r="D12" s="168" t="s">
        <v>35</v>
      </c>
      <c r="E12" s="232"/>
      <c r="F12" s="232"/>
      <c r="G12" s="232"/>
      <c r="H12" s="177" t="s">
        <v>20</v>
      </c>
      <c r="I12" s="178"/>
    </row>
    <row r="13" spans="1:10" ht="15" customHeight="1" x14ac:dyDescent="0.2">
      <c r="A13" s="253"/>
      <c r="B13" s="168" t="s">
        <v>34</v>
      </c>
      <c r="C13" s="176"/>
      <c r="D13" s="168" t="s">
        <v>36</v>
      </c>
      <c r="E13" s="232"/>
      <c r="F13" s="232"/>
      <c r="G13" s="232"/>
      <c r="H13" s="177" t="s">
        <v>38</v>
      </c>
      <c r="I13" s="178"/>
    </row>
    <row r="14" spans="1:10" ht="15" customHeight="1" x14ac:dyDescent="0.2">
      <c r="A14" s="253"/>
      <c r="B14" s="168" t="s">
        <v>34</v>
      </c>
      <c r="C14" s="176"/>
      <c r="D14" s="168" t="s">
        <v>37</v>
      </c>
      <c r="E14" s="232"/>
      <c r="F14" s="232"/>
      <c r="G14" s="232"/>
      <c r="H14" s="177" t="s">
        <v>39</v>
      </c>
      <c r="I14" s="179"/>
    </row>
    <row r="15" spans="1:10" ht="15" customHeight="1" x14ac:dyDescent="0.2">
      <c r="A15" s="254"/>
      <c r="B15" s="168" t="s">
        <v>34</v>
      </c>
      <c r="C15" s="176"/>
      <c r="D15" s="168" t="s">
        <v>45</v>
      </c>
      <c r="E15" s="232"/>
      <c r="F15" s="232"/>
      <c r="G15" s="232"/>
      <c r="H15" s="177" t="s">
        <v>136</v>
      </c>
      <c r="I15" s="216" t="s">
        <v>137</v>
      </c>
      <c r="J15" s="45"/>
    </row>
    <row r="16" spans="1:10" ht="6.95" customHeight="1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 x14ac:dyDescent="0.2">
      <c r="A17" s="272" t="s">
        <v>118</v>
      </c>
      <c r="B17" s="273"/>
      <c r="C17" s="273"/>
      <c r="D17" s="274"/>
      <c r="E17" s="180" t="s">
        <v>41</v>
      </c>
      <c r="F17" s="180" t="s">
        <v>42</v>
      </c>
      <c r="G17" s="180" t="s">
        <v>12</v>
      </c>
      <c r="H17" s="180" t="s">
        <v>11</v>
      </c>
      <c r="I17" s="237" t="s">
        <v>3</v>
      </c>
      <c r="J17" s="131"/>
    </row>
    <row r="18" spans="1:10" ht="15" customHeight="1" x14ac:dyDescent="0.2">
      <c r="A18" s="275"/>
      <c r="B18" s="276"/>
      <c r="C18" s="276"/>
      <c r="D18" s="277"/>
      <c r="E18" s="181" t="s">
        <v>40</v>
      </c>
      <c r="F18" s="181" t="s">
        <v>43</v>
      </c>
      <c r="G18" s="181" t="s">
        <v>43</v>
      </c>
      <c r="H18" s="181" t="s">
        <v>43</v>
      </c>
      <c r="I18" s="237"/>
      <c r="J18" s="131"/>
    </row>
    <row r="19" spans="1:10" ht="15" customHeight="1" x14ac:dyDescent="0.2">
      <c r="A19" s="278"/>
      <c r="B19" s="279"/>
      <c r="C19" s="279"/>
      <c r="D19" s="280"/>
      <c r="E19" s="217"/>
      <c r="F19" s="217"/>
      <c r="G19" s="217"/>
      <c r="H19" s="177">
        <f>F19-G19</f>
        <v>0</v>
      </c>
      <c r="I19" s="182" t="e">
        <f>G19/F19</f>
        <v>#DIV/0!</v>
      </c>
      <c r="J19" s="131"/>
    </row>
    <row r="20" spans="1:10" ht="6.95" customHeight="1" x14ac:dyDescent="0.2">
      <c r="A20" s="167"/>
      <c r="B20" s="167"/>
      <c r="C20" s="167"/>
      <c r="D20" s="183"/>
      <c r="E20" s="167"/>
      <c r="F20" s="167"/>
      <c r="G20" s="167"/>
      <c r="H20" s="167"/>
      <c r="I20" s="184"/>
      <c r="J20" s="131"/>
    </row>
    <row r="21" spans="1:10" ht="15" customHeight="1" x14ac:dyDescent="0.2">
      <c r="A21" s="240" t="s">
        <v>152</v>
      </c>
      <c r="B21" s="241"/>
      <c r="C21" s="241"/>
      <c r="D21" s="241"/>
      <c r="E21" s="241"/>
      <c r="F21" s="241"/>
      <c r="G21" s="241"/>
      <c r="H21" s="241"/>
      <c r="I21" s="242"/>
      <c r="J21" s="131"/>
    </row>
    <row r="22" spans="1:10" ht="15" customHeight="1" x14ac:dyDescent="0.2">
      <c r="A22" s="177" t="s">
        <v>156</v>
      </c>
      <c r="B22" s="175" t="e">
        <f>VLOOKUP(I5,Data!F9:G68,2)</f>
        <v>#N/A</v>
      </c>
      <c r="C22" s="237"/>
      <c r="D22" s="236" t="s">
        <v>119</v>
      </c>
      <c r="E22" s="180" t="s">
        <v>22</v>
      </c>
      <c r="F22" s="180" t="s">
        <v>42</v>
      </c>
      <c r="G22" s="180" t="s">
        <v>12</v>
      </c>
      <c r="H22" s="180" t="s">
        <v>11</v>
      </c>
      <c r="I22" s="237" t="s">
        <v>3</v>
      </c>
      <c r="J22" s="131"/>
    </row>
    <row r="23" spans="1:10" ht="15" customHeight="1" x14ac:dyDescent="0.2">
      <c r="A23" s="177" t="s">
        <v>157</v>
      </c>
      <c r="B23" s="185">
        <f>I6</f>
        <v>0</v>
      </c>
      <c r="C23" s="237"/>
      <c r="D23" s="237"/>
      <c r="E23" s="181" t="s">
        <v>0</v>
      </c>
      <c r="F23" s="181" t="s">
        <v>43</v>
      </c>
      <c r="G23" s="181" t="s">
        <v>43</v>
      </c>
      <c r="H23" s="181" t="s">
        <v>43</v>
      </c>
      <c r="I23" s="237"/>
      <c r="J23" s="131"/>
    </row>
    <row r="24" spans="1:10" ht="15" customHeight="1" x14ac:dyDescent="0.2">
      <c r="A24" s="237" t="s">
        <v>108</v>
      </c>
      <c r="B24" s="237"/>
      <c r="C24" s="237"/>
      <c r="D24" s="232"/>
      <c r="E24" s="186">
        <v>68</v>
      </c>
      <c r="F24" s="187"/>
      <c r="G24" s="187"/>
      <c r="H24" s="188">
        <f>F24-G24</f>
        <v>0</v>
      </c>
      <c r="I24" s="189" t="e">
        <f>G24/F24</f>
        <v>#DIV/0!</v>
      </c>
      <c r="J24" s="131"/>
    </row>
    <row r="25" spans="1:10" ht="15" customHeight="1" x14ac:dyDescent="0.2">
      <c r="A25" s="237" t="s">
        <v>107</v>
      </c>
      <c r="B25" s="237"/>
      <c r="C25" s="237"/>
      <c r="D25" s="232"/>
      <c r="E25" s="186">
        <v>63</v>
      </c>
      <c r="F25" s="188">
        <f>F26+((F24-F26)/(E24-E26))*(E25-E26)</f>
        <v>0</v>
      </c>
      <c r="G25" s="188" t="e">
        <f>G26+((G24-G26)/(F26-F24))*(F26-F25)</f>
        <v>#DIV/0!</v>
      </c>
      <c r="H25" s="188" t="e">
        <f>F25-G25</f>
        <v>#DIV/0!</v>
      </c>
      <c r="I25" s="189" t="e">
        <f>G25/F25</f>
        <v>#DIV/0!</v>
      </c>
      <c r="J25" s="131"/>
    </row>
    <row r="26" spans="1:10" ht="15" customHeight="1" x14ac:dyDescent="0.2">
      <c r="A26" s="237" t="s">
        <v>108</v>
      </c>
      <c r="B26" s="237"/>
      <c r="C26" s="237"/>
      <c r="D26" s="232"/>
      <c r="E26" s="186">
        <v>62</v>
      </c>
      <c r="F26" s="187"/>
      <c r="G26" s="187"/>
      <c r="H26" s="188">
        <f>F26-G26</f>
        <v>0</v>
      </c>
      <c r="I26" s="189" t="e">
        <f>G26/F26</f>
        <v>#DIV/0!</v>
      </c>
      <c r="J26" s="131"/>
    </row>
    <row r="27" spans="1:10" s="45" customFormat="1" ht="15" hidden="1" customHeight="1" x14ac:dyDescent="0.2">
      <c r="A27" s="240" t="s">
        <v>57</v>
      </c>
      <c r="B27" s="241"/>
      <c r="C27" s="242"/>
      <c r="D27" s="190">
        <f>D24</f>
        <v>0</v>
      </c>
      <c r="E27" s="191">
        <v>63</v>
      </c>
      <c r="F27" s="191">
        <f>F25</f>
        <v>0</v>
      </c>
      <c r="G27" s="191" t="e">
        <f>G25</f>
        <v>#DIV/0!</v>
      </c>
      <c r="H27" s="191" t="e">
        <f>F27-G27</f>
        <v>#DIV/0!</v>
      </c>
      <c r="I27" s="192" t="e">
        <f>G27/F27</f>
        <v>#DIV/0!</v>
      </c>
    </row>
    <row r="28" spans="1:10" ht="6.95" customHeight="1" x14ac:dyDescent="0.2">
      <c r="A28" s="167"/>
      <c r="B28" s="167"/>
      <c r="C28" s="167"/>
      <c r="D28" s="174"/>
      <c r="E28" s="193"/>
      <c r="F28" s="193"/>
      <c r="G28" s="193"/>
      <c r="H28" s="193"/>
      <c r="I28" s="174"/>
      <c r="J28" s="45"/>
    </row>
    <row r="29" spans="1:10" ht="15" customHeight="1" x14ac:dyDescent="0.2">
      <c r="A29" s="240" t="s">
        <v>153</v>
      </c>
      <c r="B29" s="241"/>
      <c r="C29" s="241"/>
      <c r="D29" s="241"/>
      <c r="E29" s="241"/>
      <c r="F29" s="241"/>
      <c r="G29" s="241"/>
      <c r="H29" s="241"/>
      <c r="I29" s="242"/>
      <c r="J29" s="45"/>
    </row>
    <row r="30" spans="1:10" ht="15" customHeight="1" x14ac:dyDescent="0.2">
      <c r="A30" s="211" t="s">
        <v>156</v>
      </c>
      <c r="B30" s="175" t="e">
        <f>IF(B22=I5,B22,B22+10)</f>
        <v>#N/A</v>
      </c>
      <c r="C30" s="237"/>
      <c r="D30" s="236" t="s">
        <v>119</v>
      </c>
      <c r="E30" s="180" t="s">
        <v>22</v>
      </c>
      <c r="F30" s="180" t="s">
        <v>42</v>
      </c>
      <c r="G30" s="180" t="s">
        <v>12</v>
      </c>
      <c r="H30" s="180" t="s">
        <v>11</v>
      </c>
      <c r="I30" s="237" t="s">
        <v>3</v>
      </c>
    </row>
    <row r="31" spans="1:10" ht="15" customHeight="1" x14ac:dyDescent="0.2">
      <c r="A31" s="211" t="s">
        <v>157</v>
      </c>
      <c r="B31" s="185">
        <f>I6</f>
        <v>0</v>
      </c>
      <c r="C31" s="237"/>
      <c r="D31" s="237"/>
      <c r="E31" s="181" t="s">
        <v>0</v>
      </c>
      <c r="F31" s="181" t="s">
        <v>43</v>
      </c>
      <c r="G31" s="181" t="s">
        <v>43</v>
      </c>
      <c r="H31" s="181" t="s">
        <v>43</v>
      </c>
      <c r="I31" s="237"/>
    </row>
    <row r="32" spans="1:10" ht="15" customHeight="1" x14ac:dyDescent="0.2">
      <c r="A32" s="237" t="s">
        <v>108</v>
      </c>
      <c r="B32" s="237"/>
      <c r="C32" s="237"/>
      <c r="D32" s="237">
        <f>D24</f>
        <v>0</v>
      </c>
      <c r="E32" s="188">
        <f>E24</f>
        <v>68</v>
      </c>
      <c r="F32" s="187"/>
      <c r="G32" s="187"/>
      <c r="H32" s="188">
        <f>F32-G32</f>
        <v>0</v>
      </c>
      <c r="I32" s="194" t="e">
        <f>G32/F32</f>
        <v>#DIV/0!</v>
      </c>
    </row>
    <row r="33" spans="1:10" ht="15" customHeight="1" x14ac:dyDescent="0.2">
      <c r="A33" s="237" t="s">
        <v>107</v>
      </c>
      <c r="B33" s="237"/>
      <c r="C33" s="237"/>
      <c r="D33" s="237"/>
      <c r="E33" s="188">
        <f>E25</f>
        <v>63</v>
      </c>
      <c r="F33" s="188">
        <f>F34+((F32-F34)/(E32-E34))*(E33-E34)</f>
        <v>0</v>
      </c>
      <c r="G33" s="188" t="e">
        <f>G34+((G32-G34)/(F34-F32))*(F34-F33)</f>
        <v>#DIV/0!</v>
      </c>
      <c r="H33" s="188" t="e">
        <f>F33-G33</f>
        <v>#DIV/0!</v>
      </c>
      <c r="I33" s="194" t="e">
        <f>G33/F33</f>
        <v>#DIV/0!</v>
      </c>
    </row>
    <row r="34" spans="1:10" ht="15" customHeight="1" x14ac:dyDescent="0.2">
      <c r="A34" s="237" t="s">
        <v>108</v>
      </c>
      <c r="B34" s="237"/>
      <c r="C34" s="237"/>
      <c r="D34" s="237"/>
      <c r="E34" s="188">
        <f>E26</f>
        <v>62</v>
      </c>
      <c r="F34" s="187"/>
      <c r="G34" s="187"/>
      <c r="H34" s="188">
        <f>F34-G34</f>
        <v>0</v>
      </c>
      <c r="I34" s="194" t="e">
        <f>G34/F34</f>
        <v>#DIV/0!</v>
      </c>
    </row>
    <row r="35" spans="1:10" s="45" customFormat="1" ht="15" hidden="1" customHeight="1" x14ac:dyDescent="0.2">
      <c r="A35" s="239" t="s">
        <v>57</v>
      </c>
      <c r="B35" s="239"/>
      <c r="C35" s="239"/>
      <c r="D35" s="190">
        <f>D32</f>
        <v>0</v>
      </c>
      <c r="E35" s="191">
        <v>63</v>
      </c>
      <c r="F35" s="191">
        <f>F33</f>
        <v>0</v>
      </c>
      <c r="G35" s="191" t="e">
        <f>G33</f>
        <v>#DIV/0!</v>
      </c>
      <c r="H35" s="191" t="e">
        <f>F35-G35</f>
        <v>#DIV/0!</v>
      </c>
      <c r="I35" s="194" t="e">
        <f>G35/F35</f>
        <v>#DIV/0!</v>
      </c>
      <c r="J35" s="9"/>
    </row>
    <row r="36" spans="1:10" ht="6.95" customHeight="1" x14ac:dyDescent="0.2">
      <c r="A36" s="167"/>
      <c r="B36" s="167"/>
      <c r="C36" s="167"/>
      <c r="D36" s="174"/>
      <c r="E36" s="193"/>
      <c r="F36" s="193"/>
      <c r="G36" s="193"/>
      <c r="H36" s="193"/>
      <c r="I36" s="174"/>
      <c r="J36" s="45"/>
    </row>
    <row r="37" spans="1:10" ht="15" customHeight="1" x14ac:dyDescent="0.2">
      <c r="A37" s="211" t="s">
        <v>156</v>
      </c>
      <c r="B37" s="177">
        <f>I5</f>
        <v>0</v>
      </c>
      <c r="C37" s="237"/>
      <c r="D37" s="236" t="s">
        <v>119</v>
      </c>
      <c r="E37" s="180" t="s">
        <v>22</v>
      </c>
      <c r="F37" s="180" t="s">
        <v>42</v>
      </c>
      <c r="G37" s="180" t="s">
        <v>12</v>
      </c>
      <c r="H37" s="180" t="s">
        <v>11</v>
      </c>
      <c r="I37" s="237" t="s">
        <v>3</v>
      </c>
    </row>
    <row r="38" spans="1:10" ht="15" customHeight="1" x14ac:dyDescent="0.2">
      <c r="A38" s="211" t="s">
        <v>157</v>
      </c>
      <c r="B38" s="185">
        <f>I6</f>
        <v>0</v>
      </c>
      <c r="C38" s="237"/>
      <c r="D38" s="237"/>
      <c r="E38" s="181" t="s">
        <v>0</v>
      </c>
      <c r="F38" s="181" t="s">
        <v>43</v>
      </c>
      <c r="G38" s="181" t="s">
        <v>43</v>
      </c>
      <c r="H38" s="181" t="s">
        <v>43</v>
      </c>
      <c r="I38" s="237"/>
    </row>
    <row r="39" spans="1:10" ht="15" customHeight="1" x14ac:dyDescent="0.2">
      <c r="A39" s="237" t="s">
        <v>44</v>
      </c>
      <c r="B39" s="237"/>
      <c r="C39" s="237"/>
      <c r="D39" s="264">
        <f>D32</f>
        <v>0</v>
      </c>
      <c r="E39" s="227">
        <v>63</v>
      </c>
      <c r="F39" s="256" t="e">
        <f>IF(B37=B30,F35,F27-((B37-B22)*((F27-F35)/(B30-B22))))</f>
        <v>#N/A</v>
      </c>
      <c r="G39" s="188" t="e">
        <f>IF(B37=B30,G35,G27-((B37-B22)*((G27-G35)/(B30-B22))))</f>
        <v>#N/A</v>
      </c>
      <c r="H39" s="188" t="e">
        <f>F39-G39</f>
        <v>#N/A</v>
      </c>
      <c r="I39" s="194" t="e">
        <f>G39/F39</f>
        <v>#N/A</v>
      </c>
    </row>
    <row r="40" spans="1:10" ht="15" customHeight="1" x14ac:dyDescent="0.2">
      <c r="A40" s="237" t="s">
        <v>23</v>
      </c>
      <c r="B40" s="237"/>
      <c r="C40" s="237"/>
      <c r="D40" s="265"/>
      <c r="E40" s="267"/>
      <c r="F40" s="256"/>
      <c r="G40" s="188" t="e">
        <f>IF(H40&gt;0,H40,0)</f>
        <v>#N/A</v>
      </c>
      <c r="H40" s="188" t="e">
        <f>(H39-H19)*0.5</f>
        <v>#N/A</v>
      </c>
      <c r="I40" s="168"/>
    </row>
    <row r="41" spans="1:10" ht="15" hidden="1" customHeight="1" x14ac:dyDescent="0.2">
      <c r="A41" s="237" t="s">
        <v>53</v>
      </c>
      <c r="B41" s="237"/>
      <c r="C41" s="237"/>
      <c r="D41" s="265"/>
      <c r="E41" s="267"/>
      <c r="F41" s="256"/>
      <c r="G41" s="188" t="e">
        <f>IF(G40&gt;0,(G39+G40),G39)</f>
        <v>#N/A</v>
      </c>
      <c r="H41" s="188" t="e">
        <f>IF(H40&gt;0,H39-H40,H39)</f>
        <v>#N/A</v>
      </c>
      <c r="I41" s="189" t="e">
        <f>G41/F39</f>
        <v>#N/A</v>
      </c>
    </row>
    <row r="42" spans="1:10" ht="15" customHeight="1" x14ac:dyDescent="0.2">
      <c r="A42" s="237" t="s">
        <v>121</v>
      </c>
      <c r="B42" s="237"/>
      <c r="C42" s="237"/>
      <c r="D42" s="265"/>
      <c r="E42" s="267"/>
      <c r="F42" s="195">
        <v>1</v>
      </c>
      <c r="G42" s="195">
        <v>1</v>
      </c>
      <c r="H42" s="168"/>
      <c r="I42" s="168"/>
    </row>
    <row r="43" spans="1:10" ht="15" customHeight="1" x14ac:dyDescent="0.2">
      <c r="A43" s="244" t="s">
        <v>111</v>
      </c>
      <c r="B43" s="244"/>
      <c r="C43" s="244"/>
      <c r="D43" s="265"/>
      <c r="E43" s="267"/>
      <c r="F43" s="196">
        <f>Data!M41</f>
        <v>1</v>
      </c>
      <c r="G43" s="196">
        <f>Data!N41</f>
        <v>1</v>
      </c>
      <c r="H43" s="168"/>
      <c r="I43" s="168"/>
    </row>
    <row r="44" spans="1:10" ht="15" customHeight="1" x14ac:dyDescent="0.2">
      <c r="A44" s="237" t="s">
        <v>53</v>
      </c>
      <c r="B44" s="237"/>
      <c r="C44" s="237"/>
      <c r="D44" s="265"/>
      <c r="E44" s="267"/>
      <c r="F44" s="188" t="e">
        <f>F39*F42*F43</f>
        <v>#N/A</v>
      </c>
      <c r="G44" s="188" t="e">
        <f>G41*G42*G43</f>
        <v>#N/A</v>
      </c>
      <c r="H44" s="188" t="e">
        <f>F44-G44</f>
        <v>#N/A</v>
      </c>
      <c r="I44" s="189" t="e">
        <f>G44/F44</f>
        <v>#N/A</v>
      </c>
    </row>
    <row r="45" spans="1:10" ht="15" customHeight="1" x14ac:dyDescent="0.2">
      <c r="A45" s="237" t="s">
        <v>24</v>
      </c>
      <c r="B45" s="237"/>
      <c r="C45" s="237"/>
      <c r="D45" s="266"/>
      <c r="E45" s="230"/>
      <c r="F45" s="197" t="e">
        <f>F44/F19</f>
        <v>#N/A</v>
      </c>
      <c r="G45" s="215" t="e">
        <f>G44/G19</f>
        <v>#N/A</v>
      </c>
      <c r="H45" s="197" t="e">
        <f>H41/H19</f>
        <v>#N/A</v>
      </c>
      <c r="I45" s="168"/>
    </row>
    <row r="46" spans="1:10" ht="6.95" customHeight="1" x14ac:dyDescent="0.2">
      <c r="A46" s="174"/>
      <c r="B46" s="174"/>
      <c r="C46" s="174"/>
      <c r="D46" s="174"/>
      <c r="E46" s="174"/>
      <c r="F46" s="198"/>
      <c r="G46" s="198"/>
      <c r="H46" s="198"/>
      <c r="I46" s="167"/>
    </row>
    <row r="47" spans="1:10" ht="15" customHeight="1" x14ac:dyDescent="0.2">
      <c r="A47" s="243" t="s">
        <v>106</v>
      </c>
      <c r="B47" s="243"/>
      <c r="C47" s="243"/>
      <c r="D47" s="237"/>
      <c r="E47" s="237"/>
      <c r="F47" s="209">
        <f>VLOOKUP($C$11,Data!$Q$1:$R$15,2,FALSE)</f>
        <v>1.1499999999999999</v>
      </c>
      <c r="G47" s="168"/>
      <c r="H47" s="209">
        <f>VLOOKUP($C$11,Data!$Q$1:$T$15,4,FALSE)</f>
        <v>1.5</v>
      </c>
      <c r="I47" s="168"/>
    </row>
    <row r="48" spans="1:10" ht="6.95" customHeight="1" x14ac:dyDescent="0.2">
      <c r="A48" s="167"/>
      <c r="B48" s="199"/>
      <c r="C48" s="167"/>
      <c r="D48" s="167"/>
      <c r="E48" s="167"/>
      <c r="F48" s="167"/>
      <c r="G48" s="167"/>
      <c r="H48" s="167"/>
      <c r="I48" s="167"/>
    </row>
    <row r="49" spans="1:10" s="45" customFormat="1" ht="15" customHeight="1" x14ac:dyDescent="0.2">
      <c r="A49" s="236" t="s">
        <v>73</v>
      </c>
      <c r="B49" s="237"/>
      <c r="C49" s="237"/>
      <c r="D49" s="247" t="s">
        <v>112</v>
      </c>
      <c r="E49" s="247" t="s">
        <v>120</v>
      </c>
      <c r="F49" s="250" t="s">
        <v>113</v>
      </c>
      <c r="G49" s="236" t="s">
        <v>86</v>
      </c>
      <c r="H49" s="270" t="s">
        <v>111</v>
      </c>
      <c r="I49" s="271"/>
    </row>
    <row r="50" spans="1:10" s="45" customFormat="1" ht="15" customHeight="1" x14ac:dyDescent="0.2">
      <c r="A50" s="236"/>
      <c r="B50" s="237"/>
      <c r="C50" s="237"/>
      <c r="D50" s="248"/>
      <c r="E50" s="248"/>
      <c r="F50" s="251"/>
      <c r="G50" s="236"/>
      <c r="H50" s="245">
        <f>Data!O41</f>
        <v>1</v>
      </c>
      <c r="I50" s="246"/>
    </row>
    <row r="51" spans="1:10" ht="15" customHeight="1" x14ac:dyDescent="0.2">
      <c r="A51" s="237"/>
      <c r="B51" s="237"/>
      <c r="C51" s="237"/>
      <c r="D51" s="249"/>
      <c r="E51" s="249"/>
      <c r="F51" s="252"/>
      <c r="G51" s="237"/>
      <c r="H51" s="205" t="s">
        <v>110</v>
      </c>
      <c r="I51" s="205" t="s">
        <v>109</v>
      </c>
      <c r="J51" s="45"/>
    </row>
    <row r="52" spans="1:10" ht="15" customHeight="1" x14ac:dyDescent="0.2">
      <c r="A52" s="237"/>
      <c r="B52" s="237"/>
      <c r="C52" s="237"/>
      <c r="D52" s="187"/>
      <c r="E52" s="187"/>
      <c r="F52" s="200" t="str">
        <f>IF(D52="","",(30*(((I8-65)*D52)+(65*E19))-((I8-65)*(D52-E52)*47))/((30*E19)-((I8-65)*(D52-E52))))</f>
        <v/>
      </c>
      <c r="G52" s="201">
        <f>Data!M16</f>
        <v>0</v>
      </c>
      <c r="H52" s="202">
        <f>D52*H50</f>
        <v>0</v>
      </c>
      <c r="I52" s="202">
        <f>E52*H50</f>
        <v>0</v>
      </c>
    </row>
    <row r="53" spans="1:10" ht="6.95" customHeight="1" x14ac:dyDescent="0.2">
      <c r="A53" s="167"/>
      <c r="B53" s="167"/>
      <c r="C53" s="167"/>
      <c r="D53" s="167"/>
      <c r="E53" s="167"/>
      <c r="F53" s="167"/>
      <c r="G53" s="167"/>
      <c r="H53" s="167"/>
      <c r="I53" s="167"/>
    </row>
    <row r="54" spans="1:10" ht="15" customHeight="1" x14ac:dyDescent="0.2">
      <c r="A54" s="219" t="s">
        <v>147</v>
      </c>
      <c r="B54" s="263"/>
      <c r="C54" s="220"/>
      <c r="D54" s="180" t="s">
        <v>19</v>
      </c>
      <c r="E54" s="180" t="s">
        <v>18</v>
      </c>
      <c r="F54" s="255" t="s">
        <v>114</v>
      </c>
      <c r="G54" s="236" t="s">
        <v>116</v>
      </c>
      <c r="H54" s="237" t="s">
        <v>66</v>
      </c>
      <c r="I54" s="268" t="s">
        <v>115</v>
      </c>
    </row>
    <row r="55" spans="1:10" ht="15" customHeight="1" x14ac:dyDescent="0.2">
      <c r="A55" s="257" t="s">
        <v>133</v>
      </c>
      <c r="B55" s="258"/>
      <c r="C55" s="259"/>
      <c r="D55" s="181" t="s">
        <v>13</v>
      </c>
      <c r="E55" s="181" t="s">
        <v>13</v>
      </c>
      <c r="F55" s="244"/>
      <c r="G55" s="237"/>
      <c r="H55" s="237"/>
      <c r="I55" s="269"/>
    </row>
    <row r="56" spans="1:10" ht="15" customHeight="1" x14ac:dyDescent="0.2">
      <c r="A56" s="260"/>
      <c r="B56" s="261"/>
      <c r="C56" s="262"/>
      <c r="D56" s="187"/>
      <c r="E56" s="188" t="str">
        <f>IF(D56="","",(D56*(I12/100)))</f>
        <v/>
      </c>
      <c r="F56" s="196">
        <f>Data!L41</f>
        <v>1</v>
      </c>
      <c r="G56" s="202">
        <f>IF(D56="",0,E56*F56)</f>
        <v>0</v>
      </c>
      <c r="H56" s="203">
        <f>IF(D56="",0,E56/E19)</f>
        <v>0</v>
      </c>
      <c r="I56" s="204">
        <f>VLOOKUP(A55,Data!$Q$18:$R$21,2,FALSE)</f>
        <v>2</v>
      </c>
    </row>
    <row r="57" spans="1:10" ht="6.95" customHeight="1" x14ac:dyDescent="0.2"/>
    <row r="58" spans="1:10" ht="15" customHeight="1" x14ac:dyDescent="0.2">
      <c r="A58" s="225" t="s">
        <v>138</v>
      </c>
      <c r="B58" s="226"/>
      <c r="C58" s="227"/>
      <c r="D58" s="219" t="s">
        <v>135</v>
      </c>
      <c r="E58" s="220"/>
      <c r="F58" s="219" t="s">
        <v>134</v>
      </c>
      <c r="G58" s="220"/>
      <c r="H58" s="180" t="s">
        <v>66</v>
      </c>
      <c r="I58" s="210" t="s">
        <v>106</v>
      </c>
    </row>
    <row r="59" spans="1:10" ht="15" customHeight="1" x14ac:dyDescent="0.2">
      <c r="A59" s="228"/>
      <c r="B59" s="229"/>
      <c r="C59" s="230"/>
      <c r="D59" s="221"/>
      <c r="E59" s="222"/>
      <c r="F59" s="223">
        <f>E19/3413</f>
        <v>0</v>
      </c>
      <c r="G59" s="224"/>
      <c r="H59" s="203" t="e">
        <f>D59/F59</f>
        <v>#DIV/0!</v>
      </c>
      <c r="I59" s="204">
        <v>1.75</v>
      </c>
    </row>
  </sheetData>
  <sheetProtection algorithmName="SHA-512" hashValue="gk7YJl3LtPxhcLZXaM4DQ+7+UWw3Mtap/lfTQyQrygxxpbCOnEv0ezLvzEeW9MKaL11YGXMFjjxKrfB/08jEOQ==" saltValue="hoHiXr20v3QoKhejljpxSg==" spinCount="100000" sheet="1" objects="1" scenarios="1" selectLockedCells="1"/>
  <mergeCells count="71">
    <mergeCell ref="D32:D34"/>
    <mergeCell ref="A34:C34"/>
    <mergeCell ref="A32:C32"/>
    <mergeCell ref="B7:D7"/>
    <mergeCell ref="I30:I31"/>
    <mergeCell ref="D30:D31"/>
    <mergeCell ref="D22:D23"/>
    <mergeCell ref="A24:C24"/>
    <mergeCell ref="A21:I21"/>
    <mergeCell ref="C22:C23"/>
    <mergeCell ref="A17:D19"/>
    <mergeCell ref="E15:G15"/>
    <mergeCell ref="I17:I18"/>
    <mergeCell ref="C30:C31"/>
    <mergeCell ref="A25:C25"/>
    <mergeCell ref="A26:C26"/>
    <mergeCell ref="I22:I23"/>
    <mergeCell ref="A11:A15"/>
    <mergeCell ref="A35:C35"/>
    <mergeCell ref="H54:H55"/>
    <mergeCell ref="F54:F55"/>
    <mergeCell ref="F39:F41"/>
    <mergeCell ref="G54:G55"/>
    <mergeCell ref="D47:E47"/>
    <mergeCell ref="A55:C56"/>
    <mergeCell ref="A54:C54"/>
    <mergeCell ref="D39:D45"/>
    <mergeCell ref="E39:E45"/>
    <mergeCell ref="A42:C42"/>
    <mergeCell ref="I54:I55"/>
    <mergeCell ref="G49:G51"/>
    <mergeCell ref="H49:I49"/>
    <mergeCell ref="H50:I50"/>
    <mergeCell ref="E49:E51"/>
    <mergeCell ref="F49:F51"/>
    <mergeCell ref="A49:C52"/>
    <mergeCell ref="D49:D51"/>
    <mergeCell ref="A47:C47"/>
    <mergeCell ref="A40:C40"/>
    <mergeCell ref="C37:C38"/>
    <mergeCell ref="A39:C39"/>
    <mergeCell ref="A41:C41"/>
    <mergeCell ref="A45:C45"/>
    <mergeCell ref="A43:C43"/>
    <mergeCell ref="A44:C44"/>
    <mergeCell ref="E13:G13"/>
    <mergeCell ref="C11:I11"/>
    <mergeCell ref="D37:D38"/>
    <mergeCell ref="I37:I38"/>
    <mergeCell ref="A2:I2"/>
    <mergeCell ref="E14:G14"/>
    <mergeCell ref="F9:H9"/>
    <mergeCell ref="B5:D5"/>
    <mergeCell ref="B6:D6"/>
    <mergeCell ref="A4:D4"/>
    <mergeCell ref="F4:I4"/>
    <mergeCell ref="F5:H5"/>
    <mergeCell ref="A33:C33"/>
    <mergeCell ref="A27:C27"/>
    <mergeCell ref="D24:D26"/>
    <mergeCell ref="A29:I29"/>
    <mergeCell ref="F6:H6"/>
    <mergeCell ref="F7:H7"/>
    <mergeCell ref="F8:H8"/>
    <mergeCell ref="E12:G12"/>
    <mergeCell ref="B9:D9"/>
    <mergeCell ref="D58:E58"/>
    <mergeCell ref="D59:E59"/>
    <mergeCell ref="F58:G58"/>
    <mergeCell ref="F59:G59"/>
    <mergeCell ref="A58:C59"/>
  </mergeCells>
  <phoneticPr fontId="0" type="noConversion"/>
  <conditionalFormatting sqref="F45">
    <cfRule type="cellIs" dxfId="451" priority="3" stopIfTrue="1" operator="greaterThan">
      <formula>$F$47</formula>
    </cfRule>
    <cfRule type="cellIs" dxfId="450" priority="13" operator="lessThan">
      <formula>0.9</formula>
    </cfRule>
    <cfRule type="cellIs" dxfId="449" priority="17" operator="lessThan">
      <formula>$F$47</formula>
    </cfRule>
  </conditionalFormatting>
  <conditionalFormatting sqref="G45">
    <cfRule type="cellIs" dxfId="448" priority="12" operator="lessThan">
      <formula>0.9</formula>
    </cfRule>
  </conditionalFormatting>
  <conditionalFormatting sqref="H45">
    <cfRule type="cellIs" dxfId="447" priority="1" stopIfTrue="1" operator="greaterThan">
      <formula>$H$47</formula>
    </cfRule>
    <cfRule type="cellIs" dxfId="446" priority="11" operator="lessThan">
      <formula>0.9</formula>
    </cfRule>
    <cfRule type="cellIs" dxfId="445" priority="15" operator="lessThan">
      <formula>$H$47</formula>
    </cfRule>
  </conditionalFormatting>
  <conditionalFormatting sqref="H56">
    <cfRule type="cellIs" priority="4" stopIfTrue="1" operator="equal">
      <formula>0</formula>
    </cfRule>
    <cfRule type="cellIs" dxfId="444" priority="5" stopIfTrue="1" operator="greaterThan">
      <formula>$I$56</formula>
    </cfRule>
    <cfRule type="cellIs" dxfId="443" priority="10" operator="lessThan">
      <formula>0.9</formula>
    </cfRule>
    <cfRule type="cellIs" dxfId="442" priority="14" operator="lessThan">
      <formula>$I$56</formula>
    </cfRule>
  </conditionalFormatting>
  <conditionalFormatting sqref="H59">
    <cfRule type="cellIs" dxfId="441" priority="6" stopIfTrue="1" operator="greaterThan">
      <formula>$I$59</formula>
    </cfRule>
    <cfRule type="cellIs" priority="7" stopIfTrue="1" operator="equal">
      <formula>0</formula>
    </cfRule>
    <cfRule type="cellIs" dxfId="440" priority="8" operator="lessThan">
      <formula>0.9</formula>
    </cfRule>
    <cfRule type="cellIs" dxfId="439" priority="9" operator="lessThan">
      <formula>$I$59</formula>
    </cfRule>
  </conditionalFormatting>
  <dataValidations xWindow="570" yWindow="527" count="11">
    <dataValidation type="custom" allowBlank="1" showInputMessage="1" showErrorMessage="1" errorTitle="INVALID # ENTERED" error="This # should be lessr-than or equal-to the outdoor design temperature (Cell J-7)." sqref="B22" xr:uid="{00000000-0002-0000-0100-000000000000}">
      <formula1>SUM(B22)&lt;=(I5)</formula1>
    </dataValidation>
    <dataValidation type="custom" allowBlank="1" showInputMessage="1" showErrorMessage="1" errorTitle="INVALID # ENTERED" error="This # should be greater-than or equal-to the outdoor design temperature (Cell J-7)." sqref="B30" xr:uid="{00000000-0002-0000-0100-000001000000}">
      <formula1>SUM(B30)&gt;=I5</formula1>
    </dataValidation>
    <dataValidation type="custom" allowBlank="1" showInputMessage="1" showErrorMessage="1" errorTitle="INCORRECT # ENTERED" error="The sensible capacity should be less than the total capacity." sqref="G32 G19:H19" xr:uid="{00000000-0002-0000-0100-000002000000}">
      <formula1>G19&lt;F19</formula1>
    </dataValidation>
    <dataValidation type="custom" allowBlank="1" showInputMessage="1" showErrorMessage="1" errorTitle="INCORRECT # ENTERED" error="The furnace's input capacity should be larger than the output capacity." sqref="D56" xr:uid="{00000000-0002-0000-0100-000003000000}">
      <formula1>D56&gt;E56</formula1>
    </dataValidation>
    <dataValidation type="custom" allowBlank="1" showInputMessage="1" showErrorMessage="1" errorTitle="INCORRECT # ENTERED" error="The heat pump capacity @ 47 should be larger than the capacity @ 17." sqref="D52" xr:uid="{00000000-0002-0000-0100-000004000000}">
      <formula1>D52&gt;E52</formula1>
    </dataValidation>
    <dataValidation type="custom" allowBlank="1" showInputMessage="1" showErrorMessage="1" errorTitle="INCORRECT # ENTERED" error="The sensible capacity should be less than the total capacity." sqref="G34" xr:uid="{00000000-0002-0000-0100-000005000000}">
      <formula1>G34&lt;=F34</formula1>
    </dataValidation>
    <dataValidation type="custom" allowBlank="1" showInputMessage="1" showErrorMessage="1" errorTitle="Incorrect OEM Data is Being Used" error="Please use OEM data that corresponds with a wet bulb temperature of &lt; 63 degrees." sqref="E26" xr:uid="{00000000-0002-0000-0100-000006000000}">
      <formula1>E26&lt;E25</formula1>
    </dataValidation>
    <dataValidation type="custom" allowBlank="1" showInputMessage="1" showErrorMessage="1" errorTitle="Incorrect OEM Data is Being Used" error="Please use OEM data that corresponds with a wet bulb temperature of &gt; 63 degrees." sqref="E24" xr:uid="{00000000-0002-0000-0100-000007000000}">
      <formula1>E24&gt;E25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E56" xr:uid="{00000000-0002-0000-0100-000008000000}">
      <formula1>E19&lt;=E56</formula1>
    </dataValidation>
    <dataValidation type="list" allowBlank="1" showInputMessage="1" showErrorMessage="1" sqref="D12" xr:uid="{00000000-0002-0000-0100-000009000000}">
      <formula1>"Furnace #,Boiler #"</formula1>
    </dataValidation>
    <dataValidation type="list" allowBlank="1" showInputMessage="1" showErrorMessage="1" sqref="I15" xr:uid="{00000000-0002-0000-0100-00000A000000}">
      <formula1>"Low, Med-Low, Med, Med High, High"</formula1>
    </dataValidation>
  </dataValidations>
  <printOptions horizontalCentered="1"/>
  <pageMargins left="0" right="0" top="0.25" bottom="0.25" header="0" footer="0"/>
  <pageSetup fitToWidth="0" orientation="portrait" r:id="rId1"/>
  <headerFooter alignWithMargins="0">
    <oddHeader xml:space="preserve">&amp;C
</oddHeader>
  </headerFooter>
  <customProperties>
    <customPr name="SSCSheetTrackingNo" r:id="rId2"/>
  </customProperties>
  <extLst>
    <ext xmlns:x14="http://schemas.microsoft.com/office/spreadsheetml/2009/9/main" uri="{CCE6A557-97BC-4b89-ADB6-D9C93CAAB3DF}">
      <x14:dataValidations xmlns:xm="http://schemas.microsoft.com/office/excel/2006/main" xWindow="570" yWindow="527" count="2">
        <x14:dataValidation type="list" allowBlank="1" showInputMessage="1" showErrorMessage="1" xr:uid="{00000000-0002-0000-0100-00000B000000}">
          <x14:formula1>
            <xm:f>Data!$Q$1:$Q$15</xm:f>
          </x14:formula1>
          <xm:sqref>C11:I11</xm:sqref>
        </x14:dataValidation>
        <x14:dataValidation type="list" allowBlank="1" showInputMessage="1" showErrorMessage="1" xr:uid="{00000000-0002-0000-0100-00000C000000}">
          <x14:formula1>
            <xm:f>Data!$Q$18:$Q$21</xm:f>
          </x14:formula1>
          <xm:sqref>A55:C56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showZeros="0" zoomScale="115" zoomScaleNormal="115" workbookViewId="0">
      <selection activeCell="B5" sqref="B5:D5"/>
    </sheetView>
  </sheetViews>
  <sheetFormatPr defaultRowHeight="11.25" x14ac:dyDescent="0.2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 x14ac:dyDescent="0.2"/>
    <row r="2" spans="1:10" ht="15" customHeight="1" x14ac:dyDescent="0.2">
      <c r="A2" s="238" t="s">
        <v>158</v>
      </c>
      <c r="B2" s="238"/>
      <c r="C2" s="238"/>
      <c r="D2" s="238"/>
      <c r="E2" s="238"/>
      <c r="F2" s="238"/>
      <c r="G2" s="238"/>
      <c r="H2" s="238"/>
      <c r="I2" s="238"/>
    </row>
    <row r="3" spans="1:10" ht="6.95" customHeight="1" x14ac:dyDescent="0.2">
      <c r="A3" s="148"/>
      <c r="B3" s="94"/>
      <c r="E3" s="82"/>
      <c r="F3" s="82"/>
      <c r="G3" s="82"/>
    </row>
    <row r="4" spans="1:10" ht="15" customHeight="1" x14ac:dyDescent="0.2">
      <c r="A4" s="239" t="s">
        <v>25</v>
      </c>
      <c r="B4" s="239"/>
      <c r="C4" s="239"/>
      <c r="D4" s="239"/>
      <c r="E4" s="167"/>
      <c r="F4" s="239" t="s">
        <v>33</v>
      </c>
      <c r="G4" s="239"/>
      <c r="H4" s="239"/>
      <c r="I4" s="239"/>
    </row>
    <row r="5" spans="1:10" ht="15" customHeight="1" x14ac:dyDescent="0.2">
      <c r="A5" s="168" t="s">
        <v>31</v>
      </c>
      <c r="B5" s="232"/>
      <c r="C5" s="232"/>
      <c r="D5" s="232"/>
      <c r="E5" s="167"/>
      <c r="F5" s="231" t="s">
        <v>27</v>
      </c>
      <c r="G5" s="231"/>
      <c r="H5" s="231"/>
      <c r="I5" s="169"/>
    </row>
    <row r="6" spans="1:10" ht="15" customHeight="1" x14ac:dyDescent="0.2">
      <c r="A6" s="168" t="s">
        <v>68</v>
      </c>
      <c r="B6" s="232"/>
      <c r="C6" s="232"/>
      <c r="D6" s="232"/>
      <c r="E6" s="167"/>
      <c r="F6" s="231" t="s">
        <v>28</v>
      </c>
      <c r="G6" s="231"/>
      <c r="H6" s="231"/>
      <c r="I6" s="169"/>
    </row>
    <row r="7" spans="1:10" ht="15" customHeight="1" x14ac:dyDescent="0.2">
      <c r="A7" s="168" t="s">
        <v>32</v>
      </c>
      <c r="B7" s="232"/>
      <c r="C7" s="232"/>
      <c r="D7" s="232"/>
      <c r="E7" s="167"/>
      <c r="F7" s="231" t="s">
        <v>29</v>
      </c>
      <c r="G7" s="231"/>
      <c r="H7" s="231"/>
      <c r="I7" s="169"/>
    </row>
    <row r="8" spans="1:10" ht="15" customHeight="1" x14ac:dyDescent="0.2">
      <c r="A8" s="168" t="s">
        <v>30</v>
      </c>
      <c r="B8" s="170"/>
      <c r="C8" s="171" t="s">
        <v>117</v>
      </c>
      <c r="D8" s="172"/>
      <c r="E8" s="167"/>
      <c r="F8" s="231" t="s">
        <v>26</v>
      </c>
      <c r="G8" s="231"/>
      <c r="H8" s="231"/>
      <c r="I8" s="169"/>
    </row>
    <row r="9" spans="1:10" ht="15" customHeight="1" x14ac:dyDescent="0.2">
      <c r="A9" s="168" t="s">
        <v>93</v>
      </c>
      <c r="B9" s="232"/>
      <c r="C9" s="232"/>
      <c r="D9" s="232"/>
      <c r="E9" s="167"/>
      <c r="F9" s="231" t="s">
        <v>89</v>
      </c>
      <c r="G9" s="231"/>
      <c r="H9" s="231"/>
      <c r="I9" s="169"/>
    </row>
    <row r="10" spans="1:10" ht="6.95" customHeight="1" x14ac:dyDescent="0.2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 x14ac:dyDescent="0.2">
      <c r="A11" s="250" t="s">
        <v>46</v>
      </c>
      <c r="B11" s="168" t="s">
        <v>75</v>
      </c>
      <c r="C11" s="233" t="s">
        <v>94</v>
      </c>
      <c r="D11" s="234"/>
      <c r="E11" s="234"/>
      <c r="F11" s="234"/>
      <c r="G11" s="234"/>
      <c r="H11" s="234"/>
      <c r="I11" s="235"/>
    </row>
    <row r="12" spans="1:10" ht="15" customHeight="1" x14ac:dyDescent="0.2">
      <c r="A12" s="253"/>
      <c r="B12" s="168" t="s">
        <v>34</v>
      </c>
      <c r="C12" s="176"/>
      <c r="D12" s="168" t="s">
        <v>35</v>
      </c>
      <c r="E12" s="232"/>
      <c r="F12" s="232"/>
      <c r="G12" s="232"/>
      <c r="H12" s="177" t="s">
        <v>20</v>
      </c>
      <c r="I12" s="178"/>
    </row>
    <row r="13" spans="1:10" ht="15" customHeight="1" x14ac:dyDescent="0.2">
      <c r="A13" s="253"/>
      <c r="B13" s="168" t="s">
        <v>34</v>
      </c>
      <c r="C13" s="176"/>
      <c r="D13" s="168" t="s">
        <v>36</v>
      </c>
      <c r="E13" s="232"/>
      <c r="F13" s="232"/>
      <c r="G13" s="232"/>
      <c r="H13" s="177" t="s">
        <v>38</v>
      </c>
      <c r="I13" s="178"/>
    </row>
    <row r="14" spans="1:10" ht="15" customHeight="1" x14ac:dyDescent="0.2">
      <c r="A14" s="253"/>
      <c r="B14" s="168" t="s">
        <v>34</v>
      </c>
      <c r="C14" s="176"/>
      <c r="D14" s="168" t="s">
        <v>37</v>
      </c>
      <c r="E14" s="232"/>
      <c r="F14" s="232"/>
      <c r="G14" s="232"/>
      <c r="H14" s="177" t="s">
        <v>39</v>
      </c>
      <c r="I14" s="179"/>
    </row>
    <row r="15" spans="1:10" ht="15" customHeight="1" x14ac:dyDescent="0.2">
      <c r="A15" s="254"/>
      <c r="B15" s="168" t="s">
        <v>34</v>
      </c>
      <c r="C15" s="176"/>
      <c r="D15" s="168" t="s">
        <v>45</v>
      </c>
      <c r="E15" s="232"/>
      <c r="F15" s="232"/>
      <c r="G15" s="232"/>
      <c r="H15" s="177" t="s">
        <v>136</v>
      </c>
      <c r="I15" s="216" t="s">
        <v>137</v>
      </c>
      <c r="J15" s="45"/>
    </row>
    <row r="16" spans="1:10" ht="6.95" customHeight="1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 x14ac:dyDescent="0.2">
      <c r="A17" s="272" t="s">
        <v>118</v>
      </c>
      <c r="B17" s="273"/>
      <c r="C17" s="273"/>
      <c r="D17" s="274"/>
      <c r="E17" s="180" t="s">
        <v>41</v>
      </c>
      <c r="F17" s="180" t="s">
        <v>42</v>
      </c>
      <c r="G17" s="180" t="s">
        <v>12</v>
      </c>
      <c r="H17" s="180" t="s">
        <v>11</v>
      </c>
      <c r="I17" s="237" t="s">
        <v>3</v>
      </c>
      <c r="J17" s="131"/>
    </row>
    <row r="18" spans="1:10" ht="15" customHeight="1" x14ac:dyDescent="0.2">
      <c r="A18" s="275"/>
      <c r="B18" s="276"/>
      <c r="C18" s="276"/>
      <c r="D18" s="277"/>
      <c r="E18" s="181" t="s">
        <v>40</v>
      </c>
      <c r="F18" s="181" t="s">
        <v>43</v>
      </c>
      <c r="G18" s="181" t="s">
        <v>43</v>
      </c>
      <c r="H18" s="181" t="s">
        <v>43</v>
      </c>
      <c r="I18" s="237"/>
      <c r="J18" s="131"/>
    </row>
    <row r="19" spans="1:10" ht="15" customHeight="1" x14ac:dyDescent="0.2">
      <c r="A19" s="278"/>
      <c r="B19" s="279"/>
      <c r="C19" s="279"/>
      <c r="D19" s="280"/>
      <c r="E19" s="217"/>
      <c r="F19" s="217"/>
      <c r="G19" s="217"/>
      <c r="H19" s="211">
        <f>F19-G19</f>
        <v>0</v>
      </c>
      <c r="I19" s="182" t="e">
        <f>G19/F19</f>
        <v>#DIV/0!</v>
      </c>
      <c r="J19" s="131"/>
    </row>
    <row r="20" spans="1:10" ht="6.95" customHeight="1" x14ac:dyDescent="0.2">
      <c r="A20" s="167"/>
      <c r="B20" s="167"/>
      <c r="C20" s="167"/>
      <c r="D20" s="183"/>
      <c r="E20" s="167"/>
      <c r="F20" s="167"/>
      <c r="G20" s="167"/>
      <c r="H20" s="167"/>
      <c r="I20" s="184"/>
      <c r="J20" s="131"/>
    </row>
    <row r="21" spans="1:10" ht="15" customHeight="1" x14ac:dyDescent="0.2">
      <c r="A21" s="240" t="s">
        <v>154</v>
      </c>
      <c r="B21" s="241"/>
      <c r="C21" s="241"/>
      <c r="D21" s="241"/>
      <c r="E21" s="241"/>
      <c r="F21" s="241"/>
      <c r="G21" s="241"/>
      <c r="H21" s="241"/>
      <c r="I21" s="242"/>
      <c r="J21" s="131"/>
    </row>
    <row r="22" spans="1:10" ht="15" customHeight="1" x14ac:dyDescent="0.2">
      <c r="A22" s="211" t="s">
        <v>156</v>
      </c>
      <c r="B22" s="206">
        <f>I5</f>
        <v>0</v>
      </c>
      <c r="C22" s="237"/>
      <c r="D22" s="236" t="s">
        <v>119</v>
      </c>
      <c r="E22" s="180" t="s">
        <v>22</v>
      </c>
      <c r="F22" s="180" t="s">
        <v>42</v>
      </c>
      <c r="G22" s="180" t="s">
        <v>12</v>
      </c>
      <c r="H22" s="180" t="s">
        <v>11</v>
      </c>
      <c r="I22" s="237" t="s">
        <v>3</v>
      </c>
      <c r="J22" s="131"/>
    </row>
    <row r="23" spans="1:10" ht="15" customHeight="1" x14ac:dyDescent="0.2">
      <c r="A23" s="211" t="s">
        <v>157</v>
      </c>
      <c r="B23" s="185">
        <f>I6</f>
        <v>0</v>
      </c>
      <c r="C23" s="237"/>
      <c r="D23" s="237"/>
      <c r="E23" s="181" t="s">
        <v>0</v>
      </c>
      <c r="F23" s="181" t="s">
        <v>43</v>
      </c>
      <c r="G23" s="181" t="s">
        <v>43</v>
      </c>
      <c r="H23" s="181" t="s">
        <v>43</v>
      </c>
      <c r="I23" s="237"/>
      <c r="J23" s="131"/>
    </row>
    <row r="24" spans="1:10" ht="15" customHeight="1" x14ac:dyDescent="0.2">
      <c r="A24" s="237" t="s">
        <v>108</v>
      </c>
      <c r="B24" s="237"/>
      <c r="C24" s="237"/>
      <c r="D24" s="232"/>
      <c r="E24" s="186">
        <v>68</v>
      </c>
      <c r="F24" s="187"/>
      <c r="G24" s="187"/>
      <c r="H24" s="188">
        <f>F24-G24</f>
        <v>0</v>
      </c>
      <c r="I24" s="189" t="e">
        <f>G24/F24</f>
        <v>#DIV/0!</v>
      </c>
      <c r="J24" s="131"/>
    </row>
    <row r="25" spans="1:10" ht="15" customHeight="1" x14ac:dyDescent="0.2">
      <c r="A25" s="237" t="s">
        <v>108</v>
      </c>
      <c r="B25" s="237"/>
      <c r="C25" s="237"/>
      <c r="D25" s="232"/>
      <c r="E25" s="186">
        <v>62</v>
      </c>
      <c r="F25" s="187"/>
      <c r="G25" s="187"/>
      <c r="H25" s="188">
        <f>F25-G25</f>
        <v>0</v>
      </c>
      <c r="I25" s="189" t="e">
        <f>G25/F25</f>
        <v>#DIV/0!</v>
      </c>
      <c r="J25" s="131"/>
    </row>
    <row r="26" spans="1:10" ht="6.95" customHeight="1" x14ac:dyDescent="0.2">
      <c r="A26" s="167"/>
      <c r="B26" s="167"/>
      <c r="C26" s="167"/>
      <c r="D26" s="174"/>
      <c r="E26" s="193"/>
      <c r="F26" s="193"/>
      <c r="G26" s="193"/>
      <c r="H26" s="193"/>
      <c r="I26" s="174"/>
      <c r="J26" s="45"/>
    </row>
    <row r="27" spans="1:10" ht="15" customHeight="1" x14ac:dyDescent="0.2">
      <c r="A27" s="211" t="s">
        <v>156</v>
      </c>
      <c r="B27" s="177">
        <f>I5</f>
        <v>0</v>
      </c>
      <c r="C27" s="237"/>
      <c r="D27" s="236" t="s">
        <v>119</v>
      </c>
      <c r="E27" s="180" t="s">
        <v>22</v>
      </c>
      <c r="F27" s="180" t="s">
        <v>42</v>
      </c>
      <c r="G27" s="180" t="s">
        <v>12</v>
      </c>
      <c r="H27" s="180" t="s">
        <v>11</v>
      </c>
      <c r="I27" s="237" t="s">
        <v>3</v>
      </c>
    </row>
    <row r="28" spans="1:10" ht="15" customHeight="1" x14ac:dyDescent="0.2">
      <c r="A28" s="211" t="s">
        <v>157</v>
      </c>
      <c r="B28" s="185">
        <f>I6</f>
        <v>0</v>
      </c>
      <c r="C28" s="237"/>
      <c r="D28" s="237"/>
      <c r="E28" s="181" t="s">
        <v>0</v>
      </c>
      <c r="F28" s="181" t="s">
        <v>43</v>
      </c>
      <c r="G28" s="181" t="s">
        <v>43</v>
      </c>
      <c r="H28" s="181" t="s">
        <v>43</v>
      </c>
      <c r="I28" s="237"/>
    </row>
    <row r="29" spans="1:10" ht="15" customHeight="1" x14ac:dyDescent="0.2">
      <c r="A29" s="237" t="s">
        <v>44</v>
      </c>
      <c r="B29" s="237"/>
      <c r="C29" s="237"/>
      <c r="D29" s="264">
        <f>D24</f>
        <v>0</v>
      </c>
      <c r="E29" s="188">
        <v>63</v>
      </c>
      <c r="F29" s="281">
        <f>F25+((F24-F25)/(E24-E25))*(E29-E25)</f>
        <v>0</v>
      </c>
      <c r="G29" s="188" t="e">
        <f>G25+((G24-G25)/(F25-F24))*(F25-F29)</f>
        <v>#DIV/0!</v>
      </c>
      <c r="H29" s="188" t="e">
        <f>F29-G29</f>
        <v>#DIV/0!</v>
      </c>
      <c r="I29" s="194" t="e">
        <f>G29/F29</f>
        <v>#DIV/0!</v>
      </c>
    </row>
    <row r="30" spans="1:10" ht="15" customHeight="1" x14ac:dyDescent="0.2">
      <c r="A30" s="237" t="s">
        <v>23</v>
      </c>
      <c r="B30" s="237"/>
      <c r="C30" s="237"/>
      <c r="D30" s="265"/>
      <c r="E30" s="207"/>
      <c r="F30" s="282"/>
      <c r="G30" s="188" t="e">
        <f>IF(H30&gt;0, H30,0)</f>
        <v>#DIV/0!</v>
      </c>
      <c r="H30" s="188" t="e">
        <f>(H29-H19)*0.5</f>
        <v>#DIV/0!</v>
      </c>
      <c r="I30" s="168"/>
    </row>
    <row r="31" spans="1:10" ht="15" customHeight="1" x14ac:dyDescent="0.2">
      <c r="A31" s="237" t="s">
        <v>53</v>
      </c>
      <c r="B31" s="237"/>
      <c r="C31" s="237"/>
      <c r="D31" s="265"/>
      <c r="E31" s="207"/>
      <c r="F31" s="283"/>
      <c r="G31" s="188" t="e">
        <f>IF(G30&gt;0,(G29+G30),G29)</f>
        <v>#DIV/0!</v>
      </c>
      <c r="H31" s="188" t="e">
        <f>IF(H30&gt;0,H29-H30,H29)</f>
        <v>#DIV/0!</v>
      </c>
      <c r="I31" s="189" t="e">
        <f>G31/F29</f>
        <v>#DIV/0!</v>
      </c>
    </row>
    <row r="32" spans="1:10" ht="15" customHeight="1" x14ac:dyDescent="0.2">
      <c r="A32" s="237" t="s">
        <v>121</v>
      </c>
      <c r="B32" s="237"/>
      <c r="C32" s="237"/>
      <c r="D32" s="265"/>
      <c r="E32" s="207"/>
      <c r="F32" s="195">
        <v>1</v>
      </c>
      <c r="G32" s="195">
        <v>1</v>
      </c>
      <c r="H32" s="168"/>
      <c r="I32" s="168"/>
    </row>
    <row r="33" spans="1:10" ht="15" customHeight="1" x14ac:dyDescent="0.2">
      <c r="A33" s="244" t="s">
        <v>111</v>
      </c>
      <c r="B33" s="244"/>
      <c r="C33" s="244"/>
      <c r="D33" s="265"/>
      <c r="E33" s="207"/>
      <c r="F33" s="196">
        <f>Data!M42</f>
        <v>1</v>
      </c>
      <c r="G33" s="196">
        <f>Data!N42</f>
        <v>1</v>
      </c>
      <c r="H33" s="168"/>
      <c r="I33" s="168"/>
    </row>
    <row r="34" spans="1:10" ht="15" customHeight="1" x14ac:dyDescent="0.2">
      <c r="A34" s="237" t="s">
        <v>53</v>
      </c>
      <c r="B34" s="237"/>
      <c r="C34" s="237"/>
      <c r="D34" s="265"/>
      <c r="E34" s="207"/>
      <c r="F34" s="188">
        <f>F29*F32*F33</f>
        <v>0</v>
      </c>
      <c r="G34" s="188" t="e">
        <f>G31*G32*G33</f>
        <v>#DIV/0!</v>
      </c>
      <c r="H34" s="188" t="e">
        <f>F34-G34</f>
        <v>#DIV/0!</v>
      </c>
      <c r="I34" s="189" t="e">
        <f>G34/F34</f>
        <v>#DIV/0!</v>
      </c>
    </row>
    <row r="35" spans="1:10" ht="15" customHeight="1" x14ac:dyDescent="0.2">
      <c r="A35" s="237" t="s">
        <v>24</v>
      </c>
      <c r="B35" s="237"/>
      <c r="C35" s="237"/>
      <c r="D35" s="266"/>
      <c r="E35" s="208"/>
      <c r="F35" s="197" t="e">
        <f>F34/F19</f>
        <v>#DIV/0!</v>
      </c>
      <c r="G35" s="215" t="e">
        <f>G34/G19</f>
        <v>#DIV/0!</v>
      </c>
      <c r="H35" s="197" t="e">
        <f>H31/H19</f>
        <v>#DIV/0!</v>
      </c>
      <c r="I35" s="168"/>
    </row>
    <row r="36" spans="1:10" ht="6.95" customHeight="1" x14ac:dyDescent="0.2">
      <c r="A36" s="174"/>
      <c r="B36" s="174"/>
      <c r="C36" s="174"/>
      <c r="D36" s="174"/>
      <c r="E36" s="174"/>
      <c r="F36" s="198"/>
      <c r="G36" s="198"/>
      <c r="H36" s="198"/>
      <c r="I36" s="167"/>
    </row>
    <row r="37" spans="1:10" ht="15" customHeight="1" x14ac:dyDescent="0.2">
      <c r="A37" s="243" t="s">
        <v>106</v>
      </c>
      <c r="B37" s="243"/>
      <c r="C37" s="243"/>
      <c r="D37" s="237"/>
      <c r="E37" s="237"/>
      <c r="F37" s="209">
        <f>VLOOKUP(C11,Data!Q1:R15,2,FALSE)</f>
        <v>1.1499999999999999</v>
      </c>
      <c r="G37" s="168"/>
      <c r="H37" s="209">
        <v>1.5</v>
      </c>
      <c r="I37" s="168"/>
    </row>
    <row r="38" spans="1:10" ht="6.95" customHeight="1" x14ac:dyDescent="0.2">
      <c r="A38" s="167"/>
      <c r="B38" s="199"/>
      <c r="C38" s="167"/>
      <c r="D38" s="167"/>
      <c r="E38" s="167"/>
      <c r="F38" s="167"/>
      <c r="G38" s="167"/>
      <c r="H38" s="167"/>
      <c r="I38" s="167"/>
    </row>
    <row r="39" spans="1:10" s="45" customFormat="1" ht="15" customHeight="1" x14ac:dyDescent="0.2">
      <c r="A39" s="236" t="s">
        <v>73</v>
      </c>
      <c r="B39" s="237"/>
      <c r="C39" s="237"/>
      <c r="D39" s="247" t="s">
        <v>112</v>
      </c>
      <c r="E39" s="247" t="s">
        <v>120</v>
      </c>
      <c r="F39" s="250" t="s">
        <v>113</v>
      </c>
      <c r="G39" s="236" t="s">
        <v>86</v>
      </c>
      <c r="H39" s="270" t="s">
        <v>111</v>
      </c>
      <c r="I39" s="271"/>
    </row>
    <row r="40" spans="1:10" s="45" customFormat="1" ht="15" customHeight="1" x14ac:dyDescent="0.2">
      <c r="A40" s="236"/>
      <c r="B40" s="237"/>
      <c r="C40" s="237"/>
      <c r="D40" s="248"/>
      <c r="E40" s="248"/>
      <c r="F40" s="251"/>
      <c r="G40" s="236"/>
      <c r="H40" s="245">
        <f>Data!O41</f>
        <v>1</v>
      </c>
      <c r="I40" s="246"/>
    </row>
    <row r="41" spans="1:10" ht="15" customHeight="1" x14ac:dyDescent="0.2">
      <c r="A41" s="237"/>
      <c r="B41" s="237"/>
      <c r="C41" s="237"/>
      <c r="D41" s="249"/>
      <c r="E41" s="249"/>
      <c r="F41" s="252"/>
      <c r="G41" s="237"/>
      <c r="H41" s="205" t="s">
        <v>110</v>
      </c>
      <c r="I41" s="205" t="s">
        <v>109</v>
      </c>
      <c r="J41" s="45"/>
    </row>
    <row r="42" spans="1:10" ht="15" customHeight="1" x14ac:dyDescent="0.2">
      <c r="A42" s="237"/>
      <c r="B42" s="237"/>
      <c r="C42" s="237"/>
      <c r="D42" s="187"/>
      <c r="E42" s="187"/>
      <c r="F42" s="200" t="str">
        <f>IF(D42="","",(30*(((I8-65)*D42)+(65*E19))-((I8-65)*(D42-E42)*47))/((30*E19)-((I8-65)*(D42-E42))))</f>
        <v/>
      </c>
      <c r="G42" s="201">
        <f>Data!M16</f>
        <v>0</v>
      </c>
      <c r="H42" s="202">
        <f>D42*H40</f>
        <v>0</v>
      </c>
      <c r="I42" s="202">
        <f>E42*H40</f>
        <v>0</v>
      </c>
    </row>
    <row r="43" spans="1:10" ht="6.95" customHeight="1" x14ac:dyDescent="0.2">
      <c r="A43" s="167"/>
      <c r="B43" s="167"/>
      <c r="C43" s="167"/>
      <c r="D43" s="167"/>
      <c r="E43" s="167"/>
      <c r="F43" s="167"/>
      <c r="G43" s="167"/>
      <c r="H43" s="167"/>
      <c r="I43" s="167"/>
    </row>
    <row r="44" spans="1:10" ht="15" customHeight="1" x14ac:dyDescent="0.2">
      <c r="A44" s="219" t="s">
        <v>147</v>
      </c>
      <c r="B44" s="263"/>
      <c r="C44" s="220"/>
      <c r="D44" s="180" t="s">
        <v>19</v>
      </c>
      <c r="E44" s="180" t="s">
        <v>18</v>
      </c>
      <c r="F44" s="255" t="s">
        <v>114</v>
      </c>
      <c r="G44" s="236" t="s">
        <v>116</v>
      </c>
      <c r="H44" s="237" t="s">
        <v>66</v>
      </c>
      <c r="I44" s="268" t="s">
        <v>115</v>
      </c>
    </row>
    <row r="45" spans="1:10" ht="15" customHeight="1" x14ac:dyDescent="0.2">
      <c r="A45" s="257" t="s">
        <v>133</v>
      </c>
      <c r="B45" s="258"/>
      <c r="C45" s="259"/>
      <c r="D45" s="181" t="s">
        <v>13</v>
      </c>
      <c r="E45" s="181" t="s">
        <v>13</v>
      </c>
      <c r="F45" s="244"/>
      <c r="G45" s="237"/>
      <c r="H45" s="237"/>
      <c r="I45" s="269"/>
    </row>
    <row r="46" spans="1:10" ht="15" customHeight="1" x14ac:dyDescent="0.2">
      <c r="A46" s="260"/>
      <c r="B46" s="261"/>
      <c r="C46" s="262"/>
      <c r="D46" s="187"/>
      <c r="E46" s="188" t="str">
        <f>IF(D46="","",(D46*(I12/100)))</f>
        <v/>
      </c>
      <c r="F46" s="196">
        <f>Data!L31</f>
        <v>0.84</v>
      </c>
      <c r="G46" s="202">
        <f>IF(D46="",0,E46*F46)</f>
        <v>0</v>
      </c>
      <c r="H46" s="203">
        <f>IF(D46="",0,E46/E19)</f>
        <v>0</v>
      </c>
      <c r="I46" s="204">
        <f>VLOOKUP(A45,Data!$Q$18:$R$21,2,FALSE)</f>
        <v>2</v>
      </c>
    </row>
    <row r="47" spans="1:10" ht="6.95" customHeight="1" x14ac:dyDescent="0.2"/>
    <row r="48" spans="1:10" ht="12.75" x14ac:dyDescent="0.2">
      <c r="A48" s="225" t="s">
        <v>138</v>
      </c>
      <c r="B48" s="226"/>
      <c r="C48" s="227"/>
      <c r="D48" s="219" t="s">
        <v>135</v>
      </c>
      <c r="E48" s="220"/>
      <c r="F48" s="219" t="s">
        <v>134</v>
      </c>
      <c r="G48" s="220"/>
      <c r="H48" s="180" t="s">
        <v>66</v>
      </c>
      <c r="I48" s="210" t="s">
        <v>106</v>
      </c>
    </row>
    <row r="49" spans="1:9" ht="12.75" x14ac:dyDescent="0.2">
      <c r="A49" s="228"/>
      <c r="B49" s="229"/>
      <c r="C49" s="230"/>
      <c r="D49" s="221"/>
      <c r="E49" s="222"/>
      <c r="F49" s="223">
        <f>E19/3413</f>
        <v>0</v>
      </c>
      <c r="G49" s="224"/>
      <c r="H49" s="203" t="e">
        <f>D49/F49</f>
        <v>#DIV/0!</v>
      </c>
      <c r="I49" s="204">
        <v>1.75</v>
      </c>
    </row>
  </sheetData>
  <sheetProtection algorithmName="SHA-512" hashValue="Qtb1bBzqpR0iC3YXt4g9oKzakIWatEgp7+8mnBXQ83tDeOfYQ9HA9USXNvyrGnEYHDzV37tHRFzC1j3cDKj0gw==" saltValue="i/wcAZAw3xjGQk7cSAeqMA==" spinCount="100000" sheet="1" objects="1" scenarios="1"/>
  <mergeCells count="59">
    <mergeCell ref="B6:D6"/>
    <mergeCell ref="F6:H6"/>
    <mergeCell ref="A2:I2"/>
    <mergeCell ref="A4:D4"/>
    <mergeCell ref="F4:I4"/>
    <mergeCell ref="B5:D5"/>
    <mergeCell ref="F5:H5"/>
    <mergeCell ref="B7:D7"/>
    <mergeCell ref="F7:H7"/>
    <mergeCell ref="F8:H8"/>
    <mergeCell ref="B9:D9"/>
    <mergeCell ref="F9:H9"/>
    <mergeCell ref="C27:C28"/>
    <mergeCell ref="D27:D28"/>
    <mergeCell ref="I27:I28"/>
    <mergeCell ref="A17:D19"/>
    <mergeCell ref="I17:I18"/>
    <mergeCell ref="A21:I21"/>
    <mergeCell ref="C22:C23"/>
    <mergeCell ref="D22:D23"/>
    <mergeCell ref="I22:I23"/>
    <mergeCell ref="A24:C24"/>
    <mergeCell ref="D24:D25"/>
    <mergeCell ref="A25:C25"/>
    <mergeCell ref="A11:A15"/>
    <mergeCell ref="C11:I11"/>
    <mergeCell ref="E12:G12"/>
    <mergeCell ref="E13:G13"/>
    <mergeCell ref="E14:G14"/>
    <mergeCell ref="E15:G15"/>
    <mergeCell ref="A29:C29"/>
    <mergeCell ref="D29:D35"/>
    <mergeCell ref="A30:C30"/>
    <mergeCell ref="A31:C31"/>
    <mergeCell ref="F29:F31"/>
    <mergeCell ref="H39:I39"/>
    <mergeCell ref="H40:I40"/>
    <mergeCell ref="A32:C32"/>
    <mergeCell ref="A33:C33"/>
    <mergeCell ref="A34:C34"/>
    <mergeCell ref="A35:C35"/>
    <mergeCell ref="A37:C37"/>
    <mergeCell ref="D37:E37"/>
    <mergeCell ref="A39:C42"/>
    <mergeCell ref="D39:D41"/>
    <mergeCell ref="G39:G41"/>
    <mergeCell ref="E39:E41"/>
    <mergeCell ref="F39:F41"/>
    <mergeCell ref="A48:C49"/>
    <mergeCell ref="D48:E48"/>
    <mergeCell ref="F48:G48"/>
    <mergeCell ref="D49:E49"/>
    <mergeCell ref="F49:G49"/>
    <mergeCell ref="F44:F45"/>
    <mergeCell ref="G44:G45"/>
    <mergeCell ref="H44:H45"/>
    <mergeCell ref="I44:I45"/>
    <mergeCell ref="A44:C44"/>
    <mergeCell ref="A45:C46"/>
  </mergeCells>
  <conditionalFormatting sqref="H49">
    <cfRule type="cellIs" dxfId="438" priority="14" stopIfTrue="1" operator="greaterThan">
      <formula>$I$49</formula>
    </cfRule>
    <cfRule type="cellIs" priority="15" stopIfTrue="1" operator="equal">
      <formula>0</formula>
    </cfRule>
    <cfRule type="cellIs" dxfId="437" priority="16" operator="lessThan">
      <formula>0.9</formula>
    </cfRule>
    <cfRule type="cellIs" dxfId="436" priority="17" operator="lessThan">
      <formula>$I$49</formula>
    </cfRule>
  </conditionalFormatting>
  <conditionalFormatting sqref="H46">
    <cfRule type="cellIs" priority="10" stopIfTrue="1" operator="equal">
      <formula>0</formula>
    </cfRule>
    <cfRule type="cellIs" dxfId="435" priority="11" stopIfTrue="1" operator="greaterThan">
      <formula>$I$46</formula>
    </cfRule>
    <cfRule type="cellIs" dxfId="434" priority="12" operator="lessThan">
      <formula>0.9</formula>
    </cfRule>
    <cfRule type="cellIs" dxfId="433" priority="13" operator="lessThan">
      <formula>$I$46</formula>
    </cfRule>
  </conditionalFormatting>
  <conditionalFormatting sqref="F35">
    <cfRule type="cellIs" dxfId="432" priority="3" stopIfTrue="1" operator="greaterThan">
      <formula>$F$37</formula>
    </cfRule>
    <cfRule type="cellIs" dxfId="431" priority="6" operator="lessThan">
      <formula>0.9</formula>
    </cfRule>
    <cfRule type="cellIs" dxfId="430" priority="9" operator="lessThan">
      <formula>$F$37</formula>
    </cfRule>
  </conditionalFormatting>
  <conditionalFormatting sqref="G35">
    <cfRule type="cellIs" dxfId="429" priority="5" operator="lessThan">
      <formula>0.9</formula>
    </cfRule>
  </conditionalFormatting>
  <conditionalFormatting sqref="H35">
    <cfRule type="cellIs" dxfId="428" priority="1" stopIfTrue="1" operator="greaterThan">
      <formula>$H$37</formula>
    </cfRule>
    <cfRule type="cellIs" dxfId="427" priority="4" operator="lessThan">
      <formula>0.9</formula>
    </cfRule>
    <cfRule type="cellIs" dxfId="426" priority="7" operator="lessThan">
      <formula>$H$37</formula>
    </cfRule>
  </conditionalFormatting>
  <dataValidations count="5">
    <dataValidation type="list" allowBlank="1" showInputMessage="1" showErrorMessage="1" sqref="I15" xr:uid="{00000000-0002-0000-0200-000000000000}">
      <formula1>"Low, Med-Low, Med, Med High, High"</formula1>
    </dataValidation>
    <dataValidation type="list" allowBlank="1" showInputMessage="1" showErrorMessage="1" sqref="D12" xr:uid="{00000000-0002-0000-0200-000001000000}">
      <formula1>"Furnace #,Boiler #"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E46" xr:uid="{00000000-0002-0000-0200-000002000000}">
      <formula1>E9&lt;=E46</formula1>
    </dataValidation>
    <dataValidation type="custom" allowBlank="1" showInputMessage="1" showErrorMessage="1" errorTitle="INCORRECT # ENTERED" error="The furnace's input capacity should be larger than the output capacity." sqref="D46" xr:uid="{00000000-0002-0000-0200-000003000000}">
      <formula1>D46&gt;E46</formula1>
    </dataValidation>
    <dataValidation type="custom" allowBlank="1" showInputMessage="1" showErrorMessage="1" errorTitle="INCORRECT # ENTERED" error="The sensible capacity should be less than the total capacity." sqref="G19:H19" xr:uid="{00000000-0002-0000-0200-000004000000}">
      <formula1>G19&lt;F19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5000000}">
          <x14:formula1>
            <xm:f>Data!$Q$1:$Q$15</xm:f>
          </x14:formula1>
          <xm:sqref>C11:I11</xm:sqref>
        </x14:dataValidation>
        <x14:dataValidation type="list" allowBlank="1" showInputMessage="1" showErrorMessage="1" xr:uid="{00000000-0002-0000-0200-000006000000}">
          <x14:formula1>
            <xm:f>Data!$Q$18:$Q$21</xm:f>
          </x14:formula1>
          <xm:sqref>A45:C46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showZeros="0" zoomScale="115" zoomScaleNormal="115" workbookViewId="0">
      <selection activeCell="B5" sqref="B5:D5"/>
    </sheetView>
  </sheetViews>
  <sheetFormatPr defaultRowHeight="11.25" x14ac:dyDescent="0.2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 x14ac:dyDescent="0.2"/>
    <row r="2" spans="1:10" ht="15" customHeight="1" x14ac:dyDescent="0.2">
      <c r="A2" s="238" t="s">
        <v>158</v>
      </c>
      <c r="B2" s="238"/>
      <c r="C2" s="238"/>
      <c r="D2" s="238"/>
      <c r="E2" s="238"/>
      <c r="F2" s="238"/>
      <c r="G2" s="238"/>
      <c r="H2" s="238"/>
      <c r="I2" s="238"/>
    </row>
    <row r="3" spans="1:10" ht="6.95" customHeight="1" x14ac:dyDescent="0.2">
      <c r="A3" s="148"/>
      <c r="B3" s="94"/>
      <c r="E3" s="82"/>
      <c r="F3" s="82"/>
      <c r="G3" s="82"/>
    </row>
    <row r="4" spans="1:10" ht="15" customHeight="1" x14ac:dyDescent="0.2">
      <c r="A4" s="239" t="s">
        <v>25</v>
      </c>
      <c r="B4" s="239"/>
      <c r="C4" s="239"/>
      <c r="D4" s="239"/>
      <c r="E4" s="167"/>
      <c r="F4" s="239" t="s">
        <v>33</v>
      </c>
      <c r="G4" s="239"/>
      <c r="H4" s="239"/>
      <c r="I4" s="239"/>
    </row>
    <row r="5" spans="1:10" ht="15" customHeight="1" x14ac:dyDescent="0.2">
      <c r="A5" s="168" t="s">
        <v>31</v>
      </c>
      <c r="B5" s="232"/>
      <c r="C5" s="232"/>
      <c r="D5" s="232"/>
      <c r="E5" s="167"/>
      <c r="F5" s="231" t="s">
        <v>27</v>
      </c>
      <c r="G5" s="231"/>
      <c r="H5" s="231"/>
      <c r="I5" s="169"/>
    </row>
    <row r="6" spans="1:10" ht="15" customHeight="1" x14ac:dyDescent="0.2">
      <c r="A6" s="168" t="s">
        <v>68</v>
      </c>
      <c r="B6" s="232"/>
      <c r="C6" s="232"/>
      <c r="D6" s="232"/>
      <c r="E6" s="167"/>
      <c r="F6" s="231" t="s">
        <v>28</v>
      </c>
      <c r="G6" s="231"/>
      <c r="H6" s="231"/>
      <c r="I6" s="169"/>
    </row>
    <row r="7" spans="1:10" ht="15" customHeight="1" x14ac:dyDescent="0.2">
      <c r="A7" s="168" t="s">
        <v>32</v>
      </c>
      <c r="B7" s="232"/>
      <c r="C7" s="232"/>
      <c r="D7" s="232"/>
      <c r="E7" s="167"/>
      <c r="F7" s="231" t="s">
        <v>29</v>
      </c>
      <c r="G7" s="231"/>
      <c r="H7" s="231"/>
      <c r="I7" s="169"/>
    </row>
    <row r="8" spans="1:10" ht="15" customHeight="1" x14ac:dyDescent="0.2">
      <c r="A8" s="168" t="s">
        <v>30</v>
      </c>
      <c r="B8" s="170"/>
      <c r="C8" s="171" t="s">
        <v>117</v>
      </c>
      <c r="D8" s="172"/>
      <c r="E8" s="167"/>
      <c r="F8" s="231" t="s">
        <v>26</v>
      </c>
      <c r="G8" s="231"/>
      <c r="H8" s="231"/>
      <c r="I8" s="169"/>
    </row>
    <row r="9" spans="1:10" ht="15" customHeight="1" x14ac:dyDescent="0.2">
      <c r="A9" s="168" t="s">
        <v>93</v>
      </c>
      <c r="B9" s="232"/>
      <c r="C9" s="232"/>
      <c r="D9" s="232"/>
      <c r="E9" s="167"/>
      <c r="F9" s="231" t="s">
        <v>89</v>
      </c>
      <c r="G9" s="231"/>
      <c r="H9" s="231"/>
      <c r="I9" s="169"/>
    </row>
    <row r="10" spans="1:10" ht="6.95" customHeight="1" x14ac:dyDescent="0.2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 x14ac:dyDescent="0.2">
      <c r="A11" s="250" t="s">
        <v>46</v>
      </c>
      <c r="B11" s="168" t="s">
        <v>75</v>
      </c>
      <c r="C11" s="233" t="s">
        <v>94</v>
      </c>
      <c r="D11" s="234"/>
      <c r="E11" s="234"/>
      <c r="F11" s="234"/>
      <c r="G11" s="234"/>
      <c r="H11" s="234"/>
      <c r="I11" s="235"/>
    </row>
    <row r="12" spans="1:10" ht="15" customHeight="1" x14ac:dyDescent="0.2">
      <c r="A12" s="253"/>
      <c r="B12" s="168" t="s">
        <v>34</v>
      </c>
      <c r="C12" s="176"/>
      <c r="D12" s="168" t="s">
        <v>35</v>
      </c>
      <c r="E12" s="232"/>
      <c r="F12" s="232"/>
      <c r="G12" s="232"/>
      <c r="H12" s="177" t="s">
        <v>20</v>
      </c>
      <c r="I12" s="178"/>
    </row>
    <row r="13" spans="1:10" ht="15" customHeight="1" x14ac:dyDescent="0.2">
      <c r="A13" s="253"/>
      <c r="B13" s="168" t="s">
        <v>34</v>
      </c>
      <c r="C13" s="176"/>
      <c r="D13" s="168" t="s">
        <v>36</v>
      </c>
      <c r="E13" s="232"/>
      <c r="F13" s="232"/>
      <c r="G13" s="232"/>
      <c r="H13" s="177" t="s">
        <v>38</v>
      </c>
      <c r="I13" s="178"/>
    </row>
    <row r="14" spans="1:10" ht="15" customHeight="1" x14ac:dyDescent="0.2">
      <c r="A14" s="253"/>
      <c r="B14" s="168" t="s">
        <v>34</v>
      </c>
      <c r="C14" s="176"/>
      <c r="D14" s="168" t="s">
        <v>37</v>
      </c>
      <c r="E14" s="232"/>
      <c r="F14" s="232"/>
      <c r="G14" s="232"/>
      <c r="H14" s="177" t="s">
        <v>39</v>
      </c>
      <c r="I14" s="179"/>
    </row>
    <row r="15" spans="1:10" ht="15" customHeight="1" x14ac:dyDescent="0.2">
      <c r="A15" s="254"/>
      <c r="B15" s="168" t="s">
        <v>34</v>
      </c>
      <c r="C15" s="176"/>
      <c r="D15" s="168" t="s">
        <v>45</v>
      </c>
      <c r="E15" s="232"/>
      <c r="F15" s="232"/>
      <c r="G15" s="232"/>
      <c r="H15" s="177" t="s">
        <v>136</v>
      </c>
      <c r="I15" s="216" t="s">
        <v>137</v>
      </c>
      <c r="J15" s="45"/>
    </row>
    <row r="16" spans="1:10" ht="6.95" customHeight="1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 x14ac:dyDescent="0.2">
      <c r="A17" s="272" t="s">
        <v>118</v>
      </c>
      <c r="B17" s="273"/>
      <c r="C17" s="273"/>
      <c r="D17" s="274"/>
      <c r="E17" s="180" t="s">
        <v>41</v>
      </c>
      <c r="F17" s="180" t="s">
        <v>42</v>
      </c>
      <c r="G17" s="180" t="s">
        <v>12</v>
      </c>
      <c r="H17" s="180" t="s">
        <v>11</v>
      </c>
      <c r="I17" s="237" t="s">
        <v>3</v>
      </c>
      <c r="J17" s="131"/>
    </row>
    <row r="18" spans="1:10" ht="15" customHeight="1" x14ac:dyDescent="0.2">
      <c r="A18" s="275"/>
      <c r="B18" s="276"/>
      <c r="C18" s="276"/>
      <c r="D18" s="277"/>
      <c r="E18" s="181" t="s">
        <v>40</v>
      </c>
      <c r="F18" s="181" t="s">
        <v>43</v>
      </c>
      <c r="G18" s="181" t="s">
        <v>43</v>
      </c>
      <c r="H18" s="181" t="s">
        <v>43</v>
      </c>
      <c r="I18" s="237"/>
      <c r="J18" s="131"/>
    </row>
    <row r="19" spans="1:10" ht="15" customHeight="1" x14ac:dyDescent="0.2">
      <c r="A19" s="278"/>
      <c r="B19" s="279"/>
      <c r="C19" s="279"/>
      <c r="D19" s="280"/>
      <c r="E19" s="217"/>
      <c r="F19" s="217"/>
      <c r="G19" s="217"/>
      <c r="H19" s="211">
        <f>F19-G19</f>
        <v>0</v>
      </c>
      <c r="I19" s="182" t="e">
        <f>G19/F19</f>
        <v>#DIV/0!</v>
      </c>
      <c r="J19" s="131"/>
    </row>
    <row r="20" spans="1:10" ht="6.95" customHeight="1" x14ac:dyDescent="0.2">
      <c r="A20" s="167"/>
      <c r="B20" s="167"/>
      <c r="C20" s="167"/>
      <c r="D20" s="183"/>
      <c r="E20" s="167"/>
      <c r="F20" s="167"/>
      <c r="G20" s="167"/>
      <c r="H20" s="167"/>
      <c r="I20" s="184"/>
      <c r="J20" s="131"/>
    </row>
    <row r="21" spans="1:10" ht="15" customHeight="1" x14ac:dyDescent="0.2">
      <c r="A21" s="240" t="s">
        <v>152</v>
      </c>
      <c r="B21" s="241"/>
      <c r="C21" s="241"/>
      <c r="D21" s="241"/>
      <c r="E21" s="241"/>
      <c r="F21" s="241"/>
      <c r="G21" s="241"/>
      <c r="H21" s="241"/>
      <c r="I21" s="242"/>
      <c r="J21" s="131"/>
    </row>
    <row r="22" spans="1:10" ht="15" customHeight="1" x14ac:dyDescent="0.2">
      <c r="A22" s="211" t="s">
        <v>156</v>
      </c>
      <c r="B22" s="175" t="e">
        <f>VLOOKUP(I5,Data!F9:G68,2)</f>
        <v>#N/A</v>
      </c>
      <c r="C22" s="237"/>
      <c r="D22" s="236" t="s">
        <v>119</v>
      </c>
      <c r="E22" s="180" t="s">
        <v>22</v>
      </c>
      <c r="F22" s="180" t="s">
        <v>42</v>
      </c>
      <c r="G22" s="180" t="s">
        <v>12</v>
      </c>
      <c r="H22" s="180" t="s">
        <v>11</v>
      </c>
      <c r="I22" s="237" t="s">
        <v>3</v>
      </c>
      <c r="J22" s="131"/>
    </row>
    <row r="23" spans="1:10" ht="15" customHeight="1" x14ac:dyDescent="0.2">
      <c r="A23" s="211" t="s">
        <v>157</v>
      </c>
      <c r="B23" s="185">
        <f>I6</f>
        <v>0</v>
      </c>
      <c r="C23" s="237"/>
      <c r="D23" s="237"/>
      <c r="E23" s="181" t="s">
        <v>0</v>
      </c>
      <c r="F23" s="181" t="s">
        <v>43</v>
      </c>
      <c r="G23" s="181" t="s">
        <v>43</v>
      </c>
      <c r="H23" s="181" t="s">
        <v>43</v>
      </c>
      <c r="I23" s="237"/>
      <c r="J23" s="131"/>
    </row>
    <row r="24" spans="1:10" ht="15" customHeight="1" x14ac:dyDescent="0.2">
      <c r="A24" s="237" t="s">
        <v>108</v>
      </c>
      <c r="B24" s="237"/>
      <c r="C24" s="237"/>
      <c r="D24" s="218"/>
      <c r="E24" s="188">
        <v>63</v>
      </c>
      <c r="F24" s="187"/>
      <c r="G24" s="187"/>
      <c r="H24" s="188">
        <f>F24-G24</f>
        <v>0</v>
      </c>
      <c r="I24" s="189" t="e">
        <f>G24/F24</f>
        <v>#DIV/0!</v>
      </c>
      <c r="J24" s="131"/>
    </row>
    <row r="25" spans="1:10" s="45" customFormat="1" ht="15" hidden="1" customHeight="1" x14ac:dyDescent="0.2">
      <c r="A25" s="240" t="s">
        <v>57</v>
      </c>
      <c r="B25" s="241"/>
      <c r="C25" s="242"/>
      <c r="D25" s="190">
        <f>D24</f>
        <v>0</v>
      </c>
      <c r="E25" s="191">
        <v>63</v>
      </c>
      <c r="F25" s="191">
        <f>F24</f>
        <v>0</v>
      </c>
      <c r="G25" s="191">
        <f>G24</f>
        <v>0</v>
      </c>
      <c r="H25" s="191">
        <f>F25-G25</f>
        <v>0</v>
      </c>
      <c r="I25" s="192" t="e">
        <f>G25/F25</f>
        <v>#DIV/0!</v>
      </c>
    </row>
    <row r="26" spans="1:10" ht="6.95" customHeight="1" x14ac:dyDescent="0.2">
      <c r="A26" s="167"/>
      <c r="B26" s="167"/>
      <c r="C26" s="167"/>
      <c r="D26" s="174"/>
      <c r="E26" s="193"/>
      <c r="F26" s="193"/>
      <c r="G26" s="193"/>
      <c r="H26" s="193"/>
      <c r="I26" s="174"/>
      <c r="J26" s="45"/>
    </row>
    <row r="27" spans="1:10" ht="15" customHeight="1" x14ac:dyDescent="0.2">
      <c r="A27" s="240" t="s">
        <v>153</v>
      </c>
      <c r="B27" s="241"/>
      <c r="C27" s="241"/>
      <c r="D27" s="241"/>
      <c r="E27" s="241"/>
      <c r="F27" s="241"/>
      <c r="G27" s="241"/>
      <c r="H27" s="241"/>
      <c r="I27" s="242"/>
      <c r="J27" s="45"/>
    </row>
    <row r="28" spans="1:10" ht="15" customHeight="1" x14ac:dyDescent="0.2">
      <c r="A28" s="211" t="s">
        <v>156</v>
      </c>
      <c r="B28" s="175" t="e">
        <f>IF(B22=I5,B22,B22+10)</f>
        <v>#N/A</v>
      </c>
      <c r="C28" s="237"/>
      <c r="D28" s="236" t="s">
        <v>119</v>
      </c>
      <c r="E28" s="180" t="s">
        <v>22</v>
      </c>
      <c r="F28" s="180" t="s">
        <v>42</v>
      </c>
      <c r="G28" s="180" t="s">
        <v>12</v>
      </c>
      <c r="H28" s="180" t="s">
        <v>11</v>
      </c>
      <c r="I28" s="237" t="s">
        <v>3</v>
      </c>
    </row>
    <row r="29" spans="1:10" ht="15" customHeight="1" x14ac:dyDescent="0.2">
      <c r="A29" s="211" t="s">
        <v>157</v>
      </c>
      <c r="B29" s="185">
        <f>I6</f>
        <v>0</v>
      </c>
      <c r="C29" s="237"/>
      <c r="D29" s="237"/>
      <c r="E29" s="181" t="s">
        <v>0</v>
      </c>
      <c r="F29" s="181" t="s">
        <v>43</v>
      </c>
      <c r="G29" s="181" t="s">
        <v>43</v>
      </c>
      <c r="H29" s="181" t="s">
        <v>43</v>
      </c>
      <c r="I29" s="237"/>
    </row>
    <row r="30" spans="1:10" ht="15" customHeight="1" x14ac:dyDescent="0.2">
      <c r="A30" s="237" t="s">
        <v>108</v>
      </c>
      <c r="B30" s="237"/>
      <c r="C30" s="237"/>
      <c r="D30" s="177">
        <f>D24</f>
        <v>0</v>
      </c>
      <c r="E30" s="188">
        <v>63</v>
      </c>
      <c r="F30" s="187"/>
      <c r="G30" s="187"/>
      <c r="H30" s="188">
        <f>F30-G30</f>
        <v>0</v>
      </c>
      <c r="I30" s="194" t="e">
        <f>G30/F30</f>
        <v>#DIV/0!</v>
      </c>
    </row>
    <row r="31" spans="1:10" s="45" customFormat="1" ht="15" hidden="1" customHeight="1" x14ac:dyDescent="0.2">
      <c r="A31" s="239" t="s">
        <v>57</v>
      </c>
      <c r="B31" s="239"/>
      <c r="C31" s="239"/>
      <c r="D31" s="190">
        <f>D30</f>
        <v>0</v>
      </c>
      <c r="E31" s="191">
        <v>63</v>
      </c>
      <c r="F31" s="191">
        <f>F30</f>
        <v>0</v>
      </c>
      <c r="G31" s="191">
        <f>G30</f>
        <v>0</v>
      </c>
      <c r="H31" s="191">
        <f>F31-G31</f>
        <v>0</v>
      </c>
      <c r="I31" s="194" t="e">
        <f>G31/F31</f>
        <v>#DIV/0!</v>
      </c>
      <c r="J31" s="9"/>
    </row>
    <row r="32" spans="1:10" ht="6.95" customHeight="1" x14ac:dyDescent="0.2">
      <c r="A32" s="167"/>
      <c r="B32" s="167"/>
      <c r="C32" s="167"/>
      <c r="D32" s="174"/>
      <c r="E32" s="193"/>
      <c r="F32" s="193"/>
      <c r="G32" s="193"/>
      <c r="H32" s="193"/>
      <c r="I32" s="174"/>
      <c r="J32" s="45"/>
    </row>
    <row r="33" spans="1:10" ht="15" customHeight="1" x14ac:dyDescent="0.2">
      <c r="A33" s="211" t="s">
        <v>156</v>
      </c>
      <c r="B33" s="177">
        <f>I5</f>
        <v>0</v>
      </c>
      <c r="C33" s="237"/>
      <c r="D33" s="236" t="s">
        <v>119</v>
      </c>
      <c r="E33" s="180" t="s">
        <v>22</v>
      </c>
      <c r="F33" s="180" t="s">
        <v>42</v>
      </c>
      <c r="G33" s="180" t="s">
        <v>12</v>
      </c>
      <c r="H33" s="180" t="s">
        <v>11</v>
      </c>
      <c r="I33" s="237" t="s">
        <v>3</v>
      </c>
    </row>
    <row r="34" spans="1:10" ht="15" customHeight="1" x14ac:dyDescent="0.2">
      <c r="A34" s="211" t="s">
        <v>157</v>
      </c>
      <c r="B34" s="185">
        <f>I6</f>
        <v>0</v>
      </c>
      <c r="C34" s="237"/>
      <c r="D34" s="237"/>
      <c r="E34" s="181" t="s">
        <v>0</v>
      </c>
      <c r="F34" s="181" t="s">
        <v>43</v>
      </c>
      <c r="G34" s="181" t="s">
        <v>43</v>
      </c>
      <c r="H34" s="181" t="s">
        <v>43</v>
      </c>
      <c r="I34" s="237"/>
    </row>
    <row r="35" spans="1:10" ht="15" customHeight="1" x14ac:dyDescent="0.2">
      <c r="A35" s="237" t="s">
        <v>44</v>
      </c>
      <c r="B35" s="237"/>
      <c r="C35" s="237"/>
      <c r="D35" s="264">
        <f>D30</f>
        <v>0</v>
      </c>
      <c r="E35" s="227">
        <v>63</v>
      </c>
      <c r="F35" s="256" t="e">
        <f>IF(B33=B28,F31,F25-((B33-B22)*((F25-F31)/(B28-B22))))</f>
        <v>#N/A</v>
      </c>
      <c r="G35" s="188" t="e">
        <f>IF(B33=B28,G31,G25-((B33-B22)*((G25-G31)/(B28-B22))))</f>
        <v>#N/A</v>
      </c>
      <c r="H35" s="188" t="e">
        <f>F35-G35</f>
        <v>#N/A</v>
      </c>
      <c r="I35" s="194" t="e">
        <f>G35/F35</f>
        <v>#N/A</v>
      </c>
    </row>
    <row r="36" spans="1:10" ht="15" customHeight="1" x14ac:dyDescent="0.2">
      <c r="A36" s="237" t="s">
        <v>23</v>
      </c>
      <c r="B36" s="237"/>
      <c r="C36" s="237"/>
      <c r="D36" s="265"/>
      <c r="E36" s="267"/>
      <c r="F36" s="256"/>
      <c r="G36" s="188" t="e">
        <f>IF(H36&gt;0, H36,0)</f>
        <v>#N/A</v>
      </c>
      <c r="H36" s="188" t="e">
        <f>(H35-H19)*0.5</f>
        <v>#N/A</v>
      </c>
      <c r="I36" s="168"/>
    </row>
    <row r="37" spans="1:10" ht="15" hidden="1" customHeight="1" x14ac:dyDescent="0.2">
      <c r="A37" s="237" t="s">
        <v>53</v>
      </c>
      <c r="B37" s="237"/>
      <c r="C37" s="237"/>
      <c r="D37" s="265"/>
      <c r="E37" s="267"/>
      <c r="F37" s="256"/>
      <c r="G37" s="188" t="e">
        <f>IF(G36&gt;0,(G35+G36),G35)</f>
        <v>#N/A</v>
      </c>
      <c r="H37" s="188" t="e">
        <f>IF(H36&gt;0,H35-H36,H35)</f>
        <v>#N/A</v>
      </c>
      <c r="I37" s="189" t="e">
        <f>G37/F35</f>
        <v>#N/A</v>
      </c>
    </row>
    <row r="38" spans="1:10" ht="15" customHeight="1" x14ac:dyDescent="0.2">
      <c r="A38" s="237" t="s">
        <v>121</v>
      </c>
      <c r="B38" s="237"/>
      <c r="C38" s="237"/>
      <c r="D38" s="265"/>
      <c r="E38" s="267"/>
      <c r="F38" s="195">
        <v>1</v>
      </c>
      <c r="G38" s="195">
        <v>1</v>
      </c>
      <c r="H38" s="168"/>
      <c r="I38" s="168"/>
    </row>
    <row r="39" spans="1:10" ht="15" customHeight="1" x14ac:dyDescent="0.2">
      <c r="A39" s="244" t="s">
        <v>111</v>
      </c>
      <c r="B39" s="244"/>
      <c r="C39" s="244"/>
      <c r="D39" s="265"/>
      <c r="E39" s="267"/>
      <c r="F39" s="196">
        <f>Data!M43</f>
        <v>1</v>
      </c>
      <c r="G39" s="196">
        <f>Data!N43</f>
        <v>1</v>
      </c>
      <c r="H39" s="168"/>
      <c r="I39" s="168"/>
    </row>
    <row r="40" spans="1:10" ht="15" customHeight="1" x14ac:dyDescent="0.2">
      <c r="A40" s="237" t="s">
        <v>53</v>
      </c>
      <c r="B40" s="237"/>
      <c r="C40" s="237"/>
      <c r="D40" s="265"/>
      <c r="E40" s="267"/>
      <c r="F40" s="188" t="e">
        <f>F35*F38*F39</f>
        <v>#N/A</v>
      </c>
      <c r="G40" s="188" t="e">
        <f>G37*G38*G39</f>
        <v>#N/A</v>
      </c>
      <c r="H40" s="188" t="e">
        <f>F40-G40</f>
        <v>#N/A</v>
      </c>
      <c r="I40" s="189" t="e">
        <f>G40/F40</f>
        <v>#N/A</v>
      </c>
    </row>
    <row r="41" spans="1:10" ht="15" customHeight="1" x14ac:dyDescent="0.2">
      <c r="A41" s="237" t="s">
        <v>24</v>
      </c>
      <c r="B41" s="237"/>
      <c r="C41" s="237"/>
      <c r="D41" s="266"/>
      <c r="E41" s="230"/>
      <c r="F41" s="197" t="e">
        <f>F40/F19</f>
        <v>#N/A</v>
      </c>
      <c r="G41" s="215" t="e">
        <f>G40/G19</f>
        <v>#N/A</v>
      </c>
      <c r="H41" s="197" t="e">
        <f>H37/H19</f>
        <v>#N/A</v>
      </c>
      <c r="I41" s="168"/>
    </row>
    <row r="42" spans="1:10" ht="6.95" customHeight="1" x14ac:dyDescent="0.2">
      <c r="A42" s="174"/>
      <c r="B42" s="174"/>
      <c r="C42" s="174"/>
      <c r="D42" s="174"/>
      <c r="E42" s="174"/>
      <c r="F42" s="198"/>
      <c r="G42" s="198"/>
      <c r="H42" s="198"/>
      <c r="I42" s="167"/>
    </row>
    <row r="43" spans="1:10" ht="15" customHeight="1" x14ac:dyDescent="0.2">
      <c r="A43" s="243" t="s">
        <v>106</v>
      </c>
      <c r="B43" s="243"/>
      <c r="C43" s="243"/>
      <c r="D43" s="237"/>
      <c r="E43" s="237"/>
      <c r="F43" s="209">
        <f>VLOOKUP(C11,Data!Q1:R15,2,FALSE)</f>
        <v>1.1499999999999999</v>
      </c>
      <c r="G43" s="168"/>
      <c r="H43" s="209">
        <v>1.5</v>
      </c>
      <c r="I43" s="168"/>
    </row>
    <row r="44" spans="1:10" ht="6.95" customHeight="1" x14ac:dyDescent="0.2">
      <c r="A44" s="167"/>
      <c r="B44" s="199"/>
      <c r="C44" s="167"/>
      <c r="D44" s="167"/>
      <c r="E44" s="167"/>
      <c r="F44" s="167"/>
      <c r="G44" s="167"/>
      <c r="H44" s="167"/>
      <c r="I44" s="167"/>
    </row>
    <row r="45" spans="1:10" s="45" customFormat="1" ht="15" customHeight="1" x14ac:dyDescent="0.2">
      <c r="A45" s="236" t="s">
        <v>73</v>
      </c>
      <c r="B45" s="237"/>
      <c r="C45" s="237"/>
      <c r="D45" s="247" t="s">
        <v>112</v>
      </c>
      <c r="E45" s="247" t="s">
        <v>120</v>
      </c>
      <c r="F45" s="250" t="s">
        <v>113</v>
      </c>
      <c r="G45" s="236" t="s">
        <v>86</v>
      </c>
      <c r="H45" s="270" t="s">
        <v>111</v>
      </c>
      <c r="I45" s="271"/>
    </row>
    <row r="46" spans="1:10" s="45" customFormat="1" ht="15" customHeight="1" x14ac:dyDescent="0.2">
      <c r="A46" s="236"/>
      <c r="B46" s="237"/>
      <c r="C46" s="237"/>
      <c r="D46" s="248"/>
      <c r="E46" s="248"/>
      <c r="F46" s="251"/>
      <c r="G46" s="236"/>
      <c r="H46" s="245">
        <f>Data!O41</f>
        <v>1</v>
      </c>
      <c r="I46" s="246"/>
    </row>
    <row r="47" spans="1:10" ht="15" customHeight="1" x14ac:dyDescent="0.2">
      <c r="A47" s="237"/>
      <c r="B47" s="237"/>
      <c r="C47" s="237"/>
      <c r="D47" s="249"/>
      <c r="E47" s="249"/>
      <c r="F47" s="252"/>
      <c r="G47" s="237"/>
      <c r="H47" s="205" t="s">
        <v>110</v>
      </c>
      <c r="I47" s="205" t="s">
        <v>109</v>
      </c>
      <c r="J47" s="45"/>
    </row>
    <row r="48" spans="1:10" ht="15" customHeight="1" x14ac:dyDescent="0.2">
      <c r="A48" s="237"/>
      <c r="B48" s="237"/>
      <c r="C48" s="237"/>
      <c r="D48" s="187"/>
      <c r="E48" s="187"/>
      <c r="F48" s="200" t="str">
        <f>IF(D48="","",(30*(((I8-65)*D48)+(65*E19))-((I8-65)*(D48-E48)*47))/((30*E19)-((I8-65)*(D48-E48))))</f>
        <v/>
      </c>
      <c r="G48" s="201">
        <f>Data!M16</f>
        <v>0</v>
      </c>
      <c r="H48" s="202">
        <f>D48*H46</f>
        <v>0</v>
      </c>
      <c r="I48" s="202">
        <f>E48*H46</f>
        <v>0</v>
      </c>
    </row>
    <row r="49" spans="1:9" ht="6.95" customHeight="1" x14ac:dyDescent="0.2">
      <c r="A49" s="167"/>
      <c r="B49" s="167"/>
      <c r="C49" s="167"/>
      <c r="D49" s="167"/>
      <c r="E49" s="167"/>
      <c r="F49" s="167"/>
      <c r="G49" s="167"/>
      <c r="H49" s="167"/>
      <c r="I49" s="167"/>
    </row>
    <row r="50" spans="1:9" ht="15" customHeight="1" x14ac:dyDescent="0.2">
      <c r="A50" s="219" t="s">
        <v>147</v>
      </c>
      <c r="B50" s="263"/>
      <c r="C50" s="220"/>
      <c r="D50" s="180" t="s">
        <v>19</v>
      </c>
      <c r="E50" s="180" t="s">
        <v>18</v>
      </c>
      <c r="F50" s="255" t="s">
        <v>114</v>
      </c>
      <c r="G50" s="236" t="s">
        <v>116</v>
      </c>
      <c r="H50" s="237" t="s">
        <v>66</v>
      </c>
      <c r="I50" s="268" t="s">
        <v>115</v>
      </c>
    </row>
    <row r="51" spans="1:9" ht="15" customHeight="1" x14ac:dyDescent="0.2">
      <c r="A51" s="257" t="s">
        <v>133</v>
      </c>
      <c r="B51" s="258"/>
      <c r="C51" s="259"/>
      <c r="D51" s="181" t="s">
        <v>13</v>
      </c>
      <c r="E51" s="181" t="s">
        <v>13</v>
      </c>
      <c r="F51" s="244"/>
      <c r="G51" s="237"/>
      <c r="H51" s="237"/>
      <c r="I51" s="269"/>
    </row>
    <row r="52" spans="1:9" ht="15" customHeight="1" x14ac:dyDescent="0.2">
      <c r="A52" s="260"/>
      <c r="B52" s="261"/>
      <c r="C52" s="262"/>
      <c r="D52" s="187"/>
      <c r="E52" s="188">
        <f>(D52*(I12/100))</f>
        <v>0</v>
      </c>
      <c r="F52" s="196">
        <f>Data!L41</f>
        <v>1</v>
      </c>
      <c r="G52" s="202">
        <f>E52*F52</f>
        <v>0</v>
      </c>
      <c r="H52" s="203">
        <f>IF(D52="",0,E52/E19)</f>
        <v>0</v>
      </c>
      <c r="I52" s="204">
        <f>VLOOKUP(A51,Data!$Q$18:$R$21,2,FALSE)</f>
        <v>2</v>
      </c>
    </row>
    <row r="53" spans="1:9" ht="6.95" customHeight="1" x14ac:dyDescent="0.2"/>
    <row r="54" spans="1:9" ht="12.75" x14ac:dyDescent="0.2">
      <c r="A54" s="225" t="s">
        <v>138</v>
      </c>
      <c r="B54" s="226"/>
      <c r="C54" s="227"/>
      <c r="D54" s="219" t="s">
        <v>135</v>
      </c>
      <c r="E54" s="220"/>
      <c r="F54" s="219" t="s">
        <v>134</v>
      </c>
      <c r="G54" s="220"/>
      <c r="H54" s="180" t="s">
        <v>66</v>
      </c>
      <c r="I54" s="210" t="s">
        <v>106</v>
      </c>
    </row>
    <row r="55" spans="1:9" ht="12.75" x14ac:dyDescent="0.2">
      <c r="A55" s="228"/>
      <c r="B55" s="229"/>
      <c r="C55" s="230"/>
      <c r="D55" s="221"/>
      <c r="E55" s="222"/>
      <c r="F55" s="223">
        <f>E19/3413</f>
        <v>0</v>
      </c>
      <c r="G55" s="224"/>
      <c r="H55" s="203" t="e">
        <f>D55/F55</f>
        <v>#DIV/0!</v>
      </c>
      <c r="I55" s="204">
        <v>1.75</v>
      </c>
    </row>
  </sheetData>
  <sheetProtection algorithmName="SHA-512" hashValue="JTYrrleSW1jD3o6VaagIdrpVDrrlocewzK1BMyce4npmLE+awNXme7ysAOYlqQLmcja+85ONov/moRiurE1Vow==" saltValue="tiYnfSZyDnKrbyCR+3jZIg==" spinCount="100000" sheet="1" objects="1" scenarios="1"/>
  <mergeCells count="65">
    <mergeCell ref="H45:I45"/>
    <mergeCell ref="H46:I46"/>
    <mergeCell ref="A45:C48"/>
    <mergeCell ref="D45:D47"/>
    <mergeCell ref="E45:E47"/>
    <mergeCell ref="F45:F47"/>
    <mergeCell ref="G45:G47"/>
    <mergeCell ref="F50:F51"/>
    <mergeCell ref="G50:G51"/>
    <mergeCell ref="H50:H51"/>
    <mergeCell ref="I50:I51"/>
    <mergeCell ref="A50:C50"/>
    <mergeCell ref="A51:C52"/>
    <mergeCell ref="A36:C36"/>
    <mergeCell ref="A38:C38"/>
    <mergeCell ref="A39:C39"/>
    <mergeCell ref="A40:C40"/>
    <mergeCell ref="A41:C41"/>
    <mergeCell ref="I17:I18"/>
    <mergeCell ref="A43:C43"/>
    <mergeCell ref="D43:E43"/>
    <mergeCell ref="A37:C37"/>
    <mergeCell ref="A30:C30"/>
    <mergeCell ref="A24:C24"/>
    <mergeCell ref="A25:C25"/>
    <mergeCell ref="A27:I27"/>
    <mergeCell ref="A31:C31"/>
    <mergeCell ref="C33:C34"/>
    <mergeCell ref="D33:D34"/>
    <mergeCell ref="I33:I34"/>
    <mergeCell ref="A35:C35"/>
    <mergeCell ref="D35:D41"/>
    <mergeCell ref="E35:E41"/>
    <mergeCell ref="F35:F37"/>
    <mergeCell ref="E12:G12"/>
    <mergeCell ref="E13:G13"/>
    <mergeCell ref="E14:G14"/>
    <mergeCell ref="E15:G15"/>
    <mergeCell ref="A17:D19"/>
    <mergeCell ref="B6:D6"/>
    <mergeCell ref="F6:H6"/>
    <mergeCell ref="B7:D7"/>
    <mergeCell ref="F7:H7"/>
    <mergeCell ref="F8:H8"/>
    <mergeCell ref="B9:D9"/>
    <mergeCell ref="F9:H9"/>
    <mergeCell ref="C11:I11"/>
    <mergeCell ref="A54:C55"/>
    <mergeCell ref="D54:E54"/>
    <mergeCell ref="F54:G54"/>
    <mergeCell ref="D55:E55"/>
    <mergeCell ref="F55:G55"/>
    <mergeCell ref="A21:I21"/>
    <mergeCell ref="A11:A15"/>
    <mergeCell ref="C28:C29"/>
    <mergeCell ref="D28:D29"/>
    <mergeCell ref="I28:I29"/>
    <mergeCell ref="C22:C23"/>
    <mergeCell ref="D22:D23"/>
    <mergeCell ref="I22:I23"/>
    <mergeCell ref="A2:I2"/>
    <mergeCell ref="A4:D4"/>
    <mergeCell ref="F4:I4"/>
    <mergeCell ref="B5:D5"/>
    <mergeCell ref="F5:H5"/>
  </mergeCells>
  <conditionalFormatting sqref="H55">
    <cfRule type="cellIs" dxfId="425" priority="14" stopIfTrue="1" operator="greaterThan">
      <formula>$I$55</formula>
    </cfRule>
    <cfRule type="cellIs" priority="15" stopIfTrue="1" operator="equal">
      <formula>0</formula>
    </cfRule>
    <cfRule type="cellIs" dxfId="424" priority="16" operator="lessThan">
      <formula>0.9</formula>
    </cfRule>
    <cfRule type="cellIs" dxfId="423" priority="17" operator="lessThan">
      <formula>$I$55</formula>
    </cfRule>
  </conditionalFormatting>
  <conditionalFormatting sqref="H52">
    <cfRule type="cellIs" priority="10" stopIfTrue="1" operator="equal">
      <formula>0</formula>
    </cfRule>
    <cfRule type="cellIs" dxfId="422" priority="11" stopIfTrue="1" operator="greaterThan">
      <formula>$I$52</formula>
    </cfRule>
    <cfRule type="cellIs" dxfId="421" priority="12" operator="lessThan">
      <formula>0.9</formula>
    </cfRule>
    <cfRule type="cellIs" dxfId="420" priority="13" operator="lessThan">
      <formula>$I$52</formula>
    </cfRule>
  </conditionalFormatting>
  <conditionalFormatting sqref="F41">
    <cfRule type="cellIs" dxfId="419" priority="3" stopIfTrue="1" operator="greaterThan">
      <formula>$F$43</formula>
    </cfRule>
    <cfRule type="cellIs" dxfId="418" priority="6" operator="lessThan">
      <formula>0.9</formula>
    </cfRule>
    <cfRule type="cellIs" dxfId="417" priority="9" operator="lessThan">
      <formula>$F$43</formula>
    </cfRule>
  </conditionalFormatting>
  <conditionalFormatting sqref="G41">
    <cfRule type="cellIs" dxfId="416" priority="5" operator="lessThan">
      <formula>0.9</formula>
    </cfRule>
  </conditionalFormatting>
  <conditionalFormatting sqref="H41">
    <cfRule type="cellIs" dxfId="415" priority="1" stopIfTrue="1" operator="greaterThan">
      <formula>$H$43</formula>
    </cfRule>
    <cfRule type="cellIs" dxfId="414" priority="4" operator="lessThan">
      <formula>0.9</formula>
    </cfRule>
    <cfRule type="cellIs" dxfId="413" priority="7" operator="lessThan">
      <formula>$H$43</formula>
    </cfRule>
  </conditionalFormatting>
  <dataValidations disablePrompts="1" count="3">
    <dataValidation type="list" allowBlank="1" showInputMessage="1" showErrorMessage="1" sqref="D12" xr:uid="{00000000-0002-0000-0300-000000000000}">
      <formula1>"Furnace #,Boiler #"</formula1>
    </dataValidation>
    <dataValidation type="list" allowBlank="1" showInputMessage="1" showErrorMessage="1" sqref="I15" xr:uid="{00000000-0002-0000-0300-000001000000}">
      <formula1>"Low, Med-Low, Med, Med High, High"</formula1>
    </dataValidation>
    <dataValidation type="custom" allowBlank="1" showInputMessage="1" showErrorMessage="1" errorTitle="INCORRECT # ENTERED" error="The sensible capacity should be less than the total capacity." sqref="G19:H19" xr:uid="{00000000-0002-0000-0300-000002000000}">
      <formula1>G19&lt;F19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300-000003000000}">
          <x14:formula1>
            <xm:f>Data!$Q$1:$Q$15</xm:f>
          </x14:formula1>
          <xm:sqref>C11:I11</xm:sqref>
        </x14:dataValidation>
        <x14:dataValidation type="list" allowBlank="1" showInputMessage="1" showErrorMessage="1" xr:uid="{00000000-0002-0000-0300-000004000000}">
          <x14:formula1>
            <xm:f>Data!$Q$18:$Q$21</xm:f>
          </x14:formula1>
          <xm:sqref>A51:C52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5"/>
  <sheetViews>
    <sheetView showZeros="0" zoomScale="115" zoomScaleNormal="115" workbookViewId="0">
      <selection activeCell="B5" sqref="B5:D5"/>
    </sheetView>
  </sheetViews>
  <sheetFormatPr defaultRowHeight="11.25" x14ac:dyDescent="0.2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 x14ac:dyDescent="0.2"/>
    <row r="2" spans="1:10" ht="15" customHeight="1" x14ac:dyDescent="0.2">
      <c r="A2" s="238" t="s">
        <v>158</v>
      </c>
      <c r="B2" s="238"/>
      <c r="C2" s="238"/>
      <c r="D2" s="238"/>
      <c r="E2" s="238"/>
      <c r="F2" s="238"/>
      <c r="G2" s="238"/>
      <c r="H2" s="238"/>
      <c r="I2" s="238"/>
    </row>
    <row r="3" spans="1:10" ht="6.95" customHeight="1" x14ac:dyDescent="0.2">
      <c r="A3" s="148"/>
      <c r="B3" s="94"/>
      <c r="E3" s="82"/>
      <c r="F3" s="82"/>
      <c r="G3" s="82"/>
    </row>
    <row r="4" spans="1:10" ht="15" customHeight="1" x14ac:dyDescent="0.2">
      <c r="A4" s="239" t="s">
        <v>25</v>
      </c>
      <c r="B4" s="239"/>
      <c r="C4" s="239"/>
      <c r="D4" s="239"/>
      <c r="E4" s="167"/>
      <c r="F4" s="239" t="s">
        <v>33</v>
      </c>
      <c r="G4" s="239"/>
      <c r="H4" s="239"/>
      <c r="I4" s="239"/>
    </row>
    <row r="5" spans="1:10" ht="15" customHeight="1" x14ac:dyDescent="0.2">
      <c r="A5" s="168" t="s">
        <v>31</v>
      </c>
      <c r="B5" s="232"/>
      <c r="C5" s="232"/>
      <c r="D5" s="232"/>
      <c r="E5" s="167"/>
      <c r="F5" s="231" t="s">
        <v>27</v>
      </c>
      <c r="G5" s="231"/>
      <c r="H5" s="231"/>
      <c r="I5" s="169"/>
    </row>
    <row r="6" spans="1:10" ht="15" customHeight="1" x14ac:dyDescent="0.2">
      <c r="A6" s="168" t="s">
        <v>68</v>
      </c>
      <c r="B6" s="232"/>
      <c r="C6" s="232"/>
      <c r="D6" s="232"/>
      <c r="E6" s="167"/>
      <c r="F6" s="231" t="s">
        <v>28</v>
      </c>
      <c r="G6" s="231"/>
      <c r="H6" s="231"/>
      <c r="I6" s="169"/>
    </row>
    <row r="7" spans="1:10" ht="15" customHeight="1" x14ac:dyDescent="0.2">
      <c r="A7" s="168" t="s">
        <v>32</v>
      </c>
      <c r="B7" s="232"/>
      <c r="C7" s="232"/>
      <c r="D7" s="232"/>
      <c r="E7" s="167"/>
      <c r="F7" s="231" t="s">
        <v>29</v>
      </c>
      <c r="G7" s="231"/>
      <c r="H7" s="231"/>
      <c r="I7" s="169"/>
    </row>
    <row r="8" spans="1:10" ht="15" customHeight="1" x14ac:dyDescent="0.2">
      <c r="A8" s="168" t="s">
        <v>30</v>
      </c>
      <c r="B8" s="170"/>
      <c r="C8" s="171" t="s">
        <v>117</v>
      </c>
      <c r="D8" s="172"/>
      <c r="E8" s="167"/>
      <c r="F8" s="231" t="s">
        <v>26</v>
      </c>
      <c r="G8" s="231"/>
      <c r="H8" s="231"/>
      <c r="I8" s="169"/>
    </row>
    <row r="9" spans="1:10" ht="15" customHeight="1" x14ac:dyDescent="0.2">
      <c r="A9" s="168" t="s">
        <v>93</v>
      </c>
      <c r="B9" s="232"/>
      <c r="C9" s="232"/>
      <c r="D9" s="232"/>
      <c r="E9" s="167"/>
      <c r="F9" s="231" t="s">
        <v>89</v>
      </c>
      <c r="G9" s="231"/>
      <c r="H9" s="231"/>
      <c r="I9" s="169">
        <v>3500</v>
      </c>
    </row>
    <row r="10" spans="1:10" ht="6.95" customHeight="1" x14ac:dyDescent="0.2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 x14ac:dyDescent="0.2">
      <c r="A11" s="250" t="s">
        <v>46</v>
      </c>
      <c r="B11" s="168" t="s">
        <v>75</v>
      </c>
      <c r="C11" s="233" t="s">
        <v>94</v>
      </c>
      <c r="D11" s="234"/>
      <c r="E11" s="234"/>
      <c r="F11" s="234"/>
      <c r="G11" s="234"/>
      <c r="H11" s="234"/>
      <c r="I11" s="235"/>
    </row>
    <row r="12" spans="1:10" ht="15" customHeight="1" x14ac:dyDescent="0.2">
      <c r="A12" s="253"/>
      <c r="B12" s="168" t="s">
        <v>34</v>
      </c>
      <c r="C12" s="176"/>
      <c r="D12" s="168" t="s">
        <v>35</v>
      </c>
      <c r="E12" s="232"/>
      <c r="F12" s="232"/>
      <c r="G12" s="232"/>
      <c r="H12" s="177" t="s">
        <v>20</v>
      </c>
      <c r="I12" s="178"/>
    </row>
    <row r="13" spans="1:10" ht="15" customHeight="1" x14ac:dyDescent="0.2">
      <c r="A13" s="253"/>
      <c r="B13" s="168" t="s">
        <v>34</v>
      </c>
      <c r="C13" s="176"/>
      <c r="D13" s="168" t="s">
        <v>36</v>
      </c>
      <c r="E13" s="232"/>
      <c r="F13" s="232"/>
      <c r="G13" s="232"/>
      <c r="H13" s="177" t="s">
        <v>38</v>
      </c>
      <c r="I13" s="178"/>
    </row>
    <row r="14" spans="1:10" ht="15" customHeight="1" x14ac:dyDescent="0.2">
      <c r="A14" s="253"/>
      <c r="B14" s="168" t="s">
        <v>34</v>
      </c>
      <c r="C14" s="176"/>
      <c r="D14" s="168" t="s">
        <v>37</v>
      </c>
      <c r="E14" s="232"/>
      <c r="F14" s="232"/>
      <c r="G14" s="232"/>
      <c r="H14" s="177" t="s">
        <v>39</v>
      </c>
      <c r="I14" s="179"/>
    </row>
    <row r="15" spans="1:10" ht="15" customHeight="1" x14ac:dyDescent="0.2">
      <c r="A15" s="254"/>
      <c r="B15" s="168" t="s">
        <v>34</v>
      </c>
      <c r="C15" s="176"/>
      <c r="D15" s="168" t="s">
        <v>45</v>
      </c>
      <c r="E15" s="232"/>
      <c r="F15" s="232"/>
      <c r="G15" s="232"/>
      <c r="H15" s="177" t="s">
        <v>136</v>
      </c>
      <c r="I15" s="216" t="s">
        <v>137</v>
      </c>
      <c r="J15" s="45"/>
    </row>
    <row r="16" spans="1:10" ht="6.95" customHeight="1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 x14ac:dyDescent="0.2">
      <c r="A17" s="272" t="s">
        <v>118</v>
      </c>
      <c r="B17" s="273"/>
      <c r="C17" s="273"/>
      <c r="D17" s="274"/>
      <c r="E17" s="180" t="s">
        <v>41</v>
      </c>
      <c r="F17" s="180" t="s">
        <v>42</v>
      </c>
      <c r="G17" s="180" t="s">
        <v>12</v>
      </c>
      <c r="H17" s="180" t="s">
        <v>11</v>
      </c>
      <c r="I17" s="237" t="s">
        <v>3</v>
      </c>
      <c r="J17" s="131"/>
    </row>
    <row r="18" spans="1:10" ht="15" customHeight="1" x14ac:dyDescent="0.2">
      <c r="A18" s="275"/>
      <c r="B18" s="276"/>
      <c r="C18" s="276"/>
      <c r="D18" s="277"/>
      <c r="E18" s="181" t="s">
        <v>40</v>
      </c>
      <c r="F18" s="181" t="s">
        <v>43</v>
      </c>
      <c r="G18" s="181" t="s">
        <v>43</v>
      </c>
      <c r="H18" s="181" t="s">
        <v>43</v>
      </c>
      <c r="I18" s="237"/>
      <c r="J18" s="131"/>
    </row>
    <row r="19" spans="1:10" ht="15" customHeight="1" x14ac:dyDescent="0.2">
      <c r="A19" s="278"/>
      <c r="B19" s="279"/>
      <c r="C19" s="279"/>
      <c r="D19" s="280"/>
      <c r="E19" s="217"/>
      <c r="F19" s="217"/>
      <c r="G19" s="217"/>
      <c r="H19" s="211">
        <f>F19-G19</f>
        <v>0</v>
      </c>
      <c r="I19" s="182" t="e">
        <f>G19/F19</f>
        <v>#DIV/0!</v>
      </c>
      <c r="J19" s="131"/>
    </row>
    <row r="20" spans="1:10" ht="6.95" customHeight="1" x14ac:dyDescent="0.2">
      <c r="A20" s="167"/>
      <c r="B20" s="167"/>
      <c r="C20" s="167"/>
      <c r="D20" s="183"/>
      <c r="E20" s="167"/>
      <c r="F20" s="167"/>
      <c r="G20" s="167"/>
      <c r="H20" s="167"/>
      <c r="I20" s="184"/>
      <c r="J20" s="131"/>
    </row>
    <row r="21" spans="1:10" ht="15" customHeight="1" x14ac:dyDescent="0.2">
      <c r="A21" s="240" t="s">
        <v>151</v>
      </c>
      <c r="B21" s="241"/>
      <c r="C21" s="241"/>
      <c r="D21" s="241"/>
      <c r="E21" s="241"/>
      <c r="F21" s="241"/>
      <c r="G21" s="241"/>
      <c r="H21" s="241"/>
      <c r="I21" s="242"/>
      <c r="J21" s="131"/>
    </row>
    <row r="22" spans="1:10" ht="6.95" customHeight="1" x14ac:dyDescent="0.2">
      <c r="A22" s="167"/>
      <c r="B22" s="167"/>
      <c r="C22" s="167"/>
      <c r="D22" s="174"/>
      <c r="E22" s="193"/>
      <c r="F22" s="193"/>
      <c r="G22" s="193"/>
      <c r="H22" s="193"/>
      <c r="I22" s="174"/>
      <c r="J22" s="45"/>
    </row>
    <row r="23" spans="1:10" ht="15" customHeight="1" x14ac:dyDescent="0.2">
      <c r="A23" s="211" t="s">
        <v>156</v>
      </c>
      <c r="B23" s="177">
        <f>I5</f>
        <v>0</v>
      </c>
      <c r="C23" s="237"/>
      <c r="D23" s="236" t="s">
        <v>119</v>
      </c>
      <c r="E23" s="180" t="s">
        <v>22</v>
      </c>
      <c r="F23" s="180" t="s">
        <v>42</v>
      </c>
      <c r="G23" s="180" t="s">
        <v>12</v>
      </c>
      <c r="H23" s="180" t="s">
        <v>11</v>
      </c>
      <c r="I23" s="237" t="s">
        <v>3</v>
      </c>
    </row>
    <row r="24" spans="1:10" ht="15" customHeight="1" x14ac:dyDescent="0.2">
      <c r="A24" s="211" t="s">
        <v>157</v>
      </c>
      <c r="B24" s="185">
        <f>I6</f>
        <v>0</v>
      </c>
      <c r="C24" s="237"/>
      <c r="D24" s="237"/>
      <c r="E24" s="181" t="s">
        <v>0</v>
      </c>
      <c r="F24" s="181" t="s">
        <v>43</v>
      </c>
      <c r="G24" s="181" t="s">
        <v>43</v>
      </c>
      <c r="H24" s="181" t="s">
        <v>43</v>
      </c>
      <c r="I24" s="237"/>
    </row>
    <row r="25" spans="1:10" ht="15" customHeight="1" x14ac:dyDescent="0.2">
      <c r="A25" s="237" t="s">
        <v>108</v>
      </c>
      <c r="B25" s="237"/>
      <c r="C25" s="237"/>
      <c r="D25" s="284"/>
      <c r="E25" s="281">
        <v>63</v>
      </c>
      <c r="F25" s="287"/>
      <c r="G25" s="187"/>
      <c r="H25" s="188">
        <f>F25-G25</f>
        <v>0</v>
      </c>
      <c r="I25" s="194" t="e">
        <f>G25/F25</f>
        <v>#DIV/0!</v>
      </c>
    </row>
    <row r="26" spans="1:10" ht="15" customHeight="1" x14ac:dyDescent="0.2">
      <c r="A26" s="237" t="s">
        <v>23</v>
      </c>
      <c r="B26" s="237"/>
      <c r="C26" s="237"/>
      <c r="D26" s="285"/>
      <c r="E26" s="282"/>
      <c r="F26" s="288"/>
      <c r="G26" s="188">
        <f>IF(H26&gt;0, H26,0)</f>
        <v>0</v>
      </c>
      <c r="H26" s="188">
        <f>(H25-H19)*0.5</f>
        <v>0</v>
      </c>
      <c r="I26" s="168"/>
    </row>
    <row r="27" spans="1:10" ht="15" customHeight="1" x14ac:dyDescent="0.2">
      <c r="A27" s="237" t="s">
        <v>53</v>
      </c>
      <c r="B27" s="237"/>
      <c r="C27" s="237"/>
      <c r="D27" s="285"/>
      <c r="E27" s="282"/>
      <c r="F27" s="289"/>
      <c r="G27" s="188">
        <f>IF(G26&gt;0,(G25+G26),G25)</f>
        <v>0</v>
      </c>
      <c r="H27" s="188">
        <f>IF(H26&gt;0,H25-H26,H25)</f>
        <v>0</v>
      </c>
      <c r="I27" s="189" t="e">
        <f>G27/F25</f>
        <v>#DIV/0!</v>
      </c>
    </row>
    <row r="28" spans="1:10" ht="15" customHeight="1" x14ac:dyDescent="0.2">
      <c r="A28" s="237" t="s">
        <v>121</v>
      </c>
      <c r="B28" s="237"/>
      <c r="C28" s="237"/>
      <c r="D28" s="285"/>
      <c r="E28" s="282"/>
      <c r="F28" s="195">
        <v>1</v>
      </c>
      <c r="G28" s="195">
        <v>1</v>
      </c>
      <c r="H28" s="168"/>
      <c r="I28" s="168"/>
    </row>
    <row r="29" spans="1:10" ht="15" customHeight="1" x14ac:dyDescent="0.2">
      <c r="A29" s="244" t="s">
        <v>111</v>
      </c>
      <c r="B29" s="244"/>
      <c r="C29" s="244"/>
      <c r="D29" s="285"/>
      <c r="E29" s="282"/>
      <c r="F29" s="196">
        <f>Data!M44</f>
        <v>0.98</v>
      </c>
      <c r="G29" s="196">
        <f>Data!N44</f>
        <v>0.91</v>
      </c>
      <c r="H29" s="168"/>
      <c r="I29" s="168"/>
    </row>
    <row r="30" spans="1:10" ht="15" customHeight="1" x14ac:dyDescent="0.2">
      <c r="A30" s="237" t="s">
        <v>53</v>
      </c>
      <c r="B30" s="237"/>
      <c r="C30" s="237"/>
      <c r="D30" s="285"/>
      <c r="E30" s="282"/>
      <c r="F30" s="188">
        <f>F25*F28*F29</f>
        <v>0</v>
      </c>
      <c r="G30" s="188">
        <f>G27*G28*G29</f>
        <v>0</v>
      </c>
      <c r="H30" s="188">
        <f>F30-G30</f>
        <v>0</v>
      </c>
      <c r="I30" s="189" t="e">
        <f>G30/F30</f>
        <v>#DIV/0!</v>
      </c>
    </row>
    <row r="31" spans="1:10" ht="15" customHeight="1" x14ac:dyDescent="0.2">
      <c r="A31" s="237" t="s">
        <v>24</v>
      </c>
      <c r="B31" s="237"/>
      <c r="C31" s="237"/>
      <c r="D31" s="286"/>
      <c r="E31" s="283"/>
      <c r="F31" s="197" t="e">
        <f>F30/F19</f>
        <v>#DIV/0!</v>
      </c>
      <c r="G31" s="215" t="e">
        <f>G30/G19</f>
        <v>#DIV/0!</v>
      </c>
      <c r="H31" s="197" t="e">
        <f>H27/H19</f>
        <v>#DIV/0!</v>
      </c>
      <c r="I31" s="168"/>
    </row>
    <row r="32" spans="1:10" ht="6.95" customHeight="1" x14ac:dyDescent="0.2">
      <c r="A32" s="174"/>
      <c r="B32" s="174"/>
      <c r="C32" s="174"/>
      <c r="D32" s="174"/>
      <c r="E32" s="174"/>
      <c r="F32" s="198"/>
      <c r="G32" s="198"/>
      <c r="H32" s="198"/>
      <c r="I32" s="167"/>
    </row>
    <row r="33" spans="1:10" ht="15" customHeight="1" x14ac:dyDescent="0.2">
      <c r="A33" s="243" t="s">
        <v>106</v>
      </c>
      <c r="B33" s="243"/>
      <c r="C33" s="243"/>
      <c r="D33" s="237"/>
      <c r="E33" s="237"/>
      <c r="F33" s="209">
        <f>VLOOKUP(C11,Data!Q1:R15,2,FALSE)</f>
        <v>1.1499999999999999</v>
      </c>
      <c r="G33" s="168"/>
      <c r="H33" s="209">
        <v>1.5</v>
      </c>
      <c r="I33" s="168"/>
    </row>
    <row r="34" spans="1:10" ht="6.95" customHeight="1" x14ac:dyDescent="0.2">
      <c r="A34" s="167"/>
      <c r="B34" s="199"/>
      <c r="C34" s="167"/>
      <c r="D34" s="167"/>
      <c r="E34" s="167"/>
      <c r="F34" s="167"/>
      <c r="G34" s="167"/>
      <c r="H34" s="167"/>
      <c r="I34" s="167"/>
    </row>
    <row r="35" spans="1:10" s="45" customFormat="1" ht="15" customHeight="1" x14ac:dyDescent="0.2">
      <c r="A35" s="236" t="s">
        <v>73</v>
      </c>
      <c r="B35" s="237"/>
      <c r="C35" s="237"/>
      <c r="D35" s="247" t="s">
        <v>112</v>
      </c>
      <c r="E35" s="247" t="s">
        <v>120</v>
      </c>
      <c r="F35" s="250" t="s">
        <v>113</v>
      </c>
      <c r="G35" s="236" t="s">
        <v>86</v>
      </c>
      <c r="H35" s="270" t="s">
        <v>111</v>
      </c>
      <c r="I35" s="271"/>
    </row>
    <row r="36" spans="1:10" s="45" customFormat="1" ht="15" customHeight="1" x14ac:dyDescent="0.2">
      <c r="A36" s="236"/>
      <c r="B36" s="237"/>
      <c r="C36" s="237"/>
      <c r="D36" s="248"/>
      <c r="E36" s="248"/>
      <c r="F36" s="251"/>
      <c r="G36" s="236"/>
      <c r="H36" s="245">
        <f>Data!O41</f>
        <v>1</v>
      </c>
      <c r="I36" s="246"/>
    </row>
    <row r="37" spans="1:10" ht="15" customHeight="1" x14ac:dyDescent="0.2">
      <c r="A37" s="237"/>
      <c r="B37" s="237"/>
      <c r="C37" s="237"/>
      <c r="D37" s="249"/>
      <c r="E37" s="249"/>
      <c r="F37" s="252"/>
      <c r="G37" s="237"/>
      <c r="H37" s="205" t="s">
        <v>110</v>
      </c>
      <c r="I37" s="205" t="s">
        <v>109</v>
      </c>
      <c r="J37" s="45"/>
    </row>
    <row r="38" spans="1:10" ht="15" customHeight="1" x14ac:dyDescent="0.2">
      <c r="A38" s="237"/>
      <c r="B38" s="237"/>
      <c r="C38" s="237"/>
      <c r="D38" s="187"/>
      <c r="E38" s="187"/>
      <c r="F38" s="200" t="str">
        <f>IF(D38="","",(30*(((I8-65)*D38)+(65*E19))-((I8-65)*(D38-E38)*47))/((30*E19)-((I8-65)*(D38-E38))))</f>
        <v/>
      </c>
      <c r="G38" s="201">
        <f>Data!M16</f>
        <v>0</v>
      </c>
      <c r="H38" s="202">
        <f>D38*H36</f>
        <v>0</v>
      </c>
      <c r="I38" s="202">
        <f>E38*H36</f>
        <v>0</v>
      </c>
    </row>
    <row r="39" spans="1:10" ht="6.95" customHeight="1" x14ac:dyDescent="0.2">
      <c r="A39" s="167"/>
      <c r="B39" s="167"/>
      <c r="C39" s="167"/>
      <c r="D39" s="167"/>
      <c r="E39" s="167"/>
      <c r="F39" s="167"/>
      <c r="G39" s="167"/>
      <c r="H39" s="167"/>
      <c r="I39" s="167"/>
    </row>
    <row r="40" spans="1:10" ht="15" customHeight="1" x14ac:dyDescent="0.2">
      <c r="A40" s="219" t="s">
        <v>147</v>
      </c>
      <c r="B40" s="263"/>
      <c r="C40" s="220"/>
      <c r="D40" s="180" t="s">
        <v>19</v>
      </c>
      <c r="E40" s="180" t="s">
        <v>18</v>
      </c>
      <c r="F40" s="255" t="s">
        <v>114</v>
      </c>
      <c r="G40" s="236" t="s">
        <v>116</v>
      </c>
      <c r="H40" s="237" t="s">
        <v>66</v>
      </c>
      <c r="I40" s="268" t="s">
        <v>115</v>
      </c>
    </row>
    <row r="41" spans="1:10" ht="15" customHeight="1" x14ac:dyDescent="0.2">
      <c r="A41" s="257" t="s">
        <v>133</v>
      </c>
      <c r="B41" s="258"/>
      <c r="C41" s="259"/>
      <c r="D41" s="181" t="s">
        <v>13</v>
      </c>
      <c r="E41" s="181" t="s">
        <v>13</v>
      </c>
      <c r="F41" s="244"/>
      <c r="G41" s="237"/>
      <c r="H41" s="237"/>
      <c r="I41" s="269"/>
    </row>
    <row r="42" spans="1:10" ht="15" customHeight="1" x14ac:dyDescent="0.2">
      <c r="A42" s="260"/>
      <c r="B42" s="261"/>
      <c r="C42" s="262"/>
      <c r="D42" s="187"/>
      <c r="E42" s="188">
        <f>(D42*(I12/100))</f>
        <v>0</v>
      </c>
      <c r="F42" s="196">
        <f>Data!L41</f>
        <v>1</v>
      </c>
      <c r="G42" s="202">
        <f>E42*F42</f>
        <v>0</v>
      </c>
      <c r="H42" s="203">
        <f>IF(D42="",0,E42/E19)</f>
        <v>0</v>
      </c>
      <c r="I42" s="204">
        <f>VLOOKUP(A41,Data!$Q$18:$R$21,2,FALSE)</f>
        <v>2</v>
      </c>
    </row>
    <row r="43" spans="1:10" ht="6.95" customHeight="1" x14ac:dyDescent="0.2"/>
    <row r="44" spans="1:10" ht="12.75" x14ac:dyDescent="0.2">
      <c r="A44" s="225" t="s">
        <v>138</v>
      </c>
      <c r="B44" s="226"/>
      <c r="C44" s="227"/>
      <c r="D44" s="219" t="s">
        <v>135</v>
      </c>
      <c r="E44" s="220"/>
      <c r="F44" s="219" t="s">
        <v>134</v>
      </c>
      <c r="G44" s="220"/>
      <c r="H44" s="180" t="s">
        <v>66</v>
      </c>
      <c r="I44" s="210" t="s">
        <v>106</v>
      </c>
    </row>
    <row r="45" spans="1:10" ht="12.75" x14ac:dyDescent="0.2">
      <c r="A45" s="228"/>
      <c r="B45" s="229"/>
      <c r="C45" s="230"/>
      <c r="D45" s="221"/>
      <c r="E45" s="222"/>
      <c r="F45" s="223">
        <f>E19/3413</f>
        <v>0</v>
      </c>
      <c r="G45" s="224"/>
      <c r="H45" s="203" t="e">
        <f>D45/F45</f>
        <v>#DIV/0!</v>
      </c>
      <c r="I45" s="204">
        <v>1.75</v>
      </c>
    </row>
  </sheetData>
  <sheetProtection algorithmName="SHA-512" hashValue="W8NoSF8fOKN6/bb4/UEZ9iN5FQASR2hBi3/f9PTU46GvpzRnXVW5J9RbfkTMh0lXrjpmDZcT+putMTsTG8hvng==" saltValue="HJifF58Y6374xqjSsb2vgg==" spinCount="100000" sheet="1" objects="1" scenarios="1"/>
  <mergeCells count="54">
    <mergeCell ref="B6:D6"/>
    <mergeCell ref="F6:H6"/>
    <mergeCell ref="A2:I2"/>
    <mergeCell ref="A4:D4"/>
    <mergeCell ref="F4:I4"/>
    <mergeCell ref="B5:D5"/>
    <mergeCell ref="F5:H5"/>
    <mergeCell ref="B7:D7"/>
    <mergeCell ref="F7:H7"/>
    <mergeCell ref="F8:H8"/>
    <mergeCell ref="B9:D9"/>
    <mergeCell ref="F9:H9"/>
    <mergeCell ref="I23:I24"/>
    <mergeCell ref="E15:G15"/>
    <mergeCell ref="A17:D19"/>
    <mergeCell ref="I17:I18"/>
    <mergeCell ref="A21:I21"/>
    <mergeCell ref="A11:A15"/>
    <mergeCell ref="C11:I11"/>
    <mergeCell ref="E12:G12"/>
    <mergeCell ref="E13:G13"/>
    <mergeCell ref="C23:C24"/>
    <mergeCell ref="D23:D24"/>
    <mergeCell ref="E14:G14"/>
    <mergeCell ref="A25:C25"/>
    <mergeCell ref="D25:D31"/>
    <mergeCell ref="F25:F27"/>
    <mergeCell ref="A26:C26"/>
    <mergeCell ref="A27:C27"/>
    <mergeCell ref="A28:C28"/>
    <mergeCell ref="A29:C29"/>
    <mergeCell ref="A30:C30"/>
    <mergeCell ref="A31:C31"/>
    <mergeCell ref="E25:E31"/>
    <mergeCell ref="A33:C33"/>
    <mergeCell ref="D33:E33"/>
    <mergeCell ref="A35:C38"/>
    <mergeCell ref="D35:D37"/>
    <mergeCell ref="E35:E37"/>
    <mergeCell ref="H35:I35"/>
    <mergeCell ref="H36:I36"/>
    <mergeCell ref="F40:F41"/>
    <mergeCell ref="G40:G41"/>
    <mergeCell ref="H40:H41"/>
    <mergeCell ref="I40:I41"/>
    <mergeCell ref="F35:F37"/>
    <mergeCell ref="G35:G37"/>
    <mergeCell ref="A40:C40"/>
    <mergeCell ref="A41:C42"/>
    <mergeCell ref="A44:C45"/>
    <mergeCell ref="D44:E44"/>
    <mergeCell ref="F44:G44"/>
    <mergeCell ref="D45:E45"/>
    <mergeCell ref="F45:G45"/>
  </mergeCells>
  <conditionalFormatting sqref="H45">
    <cfRule type="cellIs" dxfId="412" priority="14" stopIfTrue="1" operator="greaterThan">
      <formula>$I$45</formula>
    </cfRule>
    <cfRule type="cellIs" priority="15" stopIfTrue="1" operator="equal">
      <formula>0</formula>
    </cfRule>
    <cfRule type="cellIs" dxfId="411" priority="16" operator="lessThan">
      <formula>0.9</formula>
    </cfRule>
    <cfRule type="cellIs" dxfId="410" priority="17" operator="lessThan">
      <formula>$I$45</formula>
    </cfRule>
  </conditionalFormatting>
  <conditionalFormatting sqref="H42">
    <cfRule type="cellIs" priority="10" stopIfTrue="1" operator="equal">
      <formula>0</formula>
    </cfRule>
    <cfRule type="cellIs" dxfId="409" priority="11" stopIfTrue="1" operator="greaterThan">
      <formula>$I$42</formula>
    </cfRule>
    <cfRule type="cellIs" dxfId="408" priority="12" operator="lessThan">
      <formula>0.9</formula>
    </cfRule>
    <cfRule type="cellIs" dxfId="407" priority="13" operator="lessThan">
      <formula>$I$42</formula>
    </cfRule>
  </conditionalFormatting>
  <conditionalFormatting sqref="F31">
    <cfRule type="cellIs" dxfId="406" priority="3" stopIfTrue="1" operator="greaterThan">
      <formula>$F$33</formula>
    </cfRule>
    <cfRule type="cellIs" dxfId="405" priority="6" operator="lessThan">
      <formula>0.9</formula>
    </cfRule>
    <cfRule type="cellIs" dxfId="404" priority="9" operator="lessThan">
      <formula>$F$33</formula>
    </cfRule>
  </conditionalFormatting>
  <conditionalFormatting sqref="G31">
    <cfRule type="cellIs" dxfId="403" priority="5" operator="lessThan">
      <formula>0.9</formula>
    </cfRule>
  </conditionalFormatting>
  <conditionalFormatting sqref="H31">
    <cfRule type="cellIs" dxfId="402" priority="1" stopIfTrue="1" operator="greaterThan">
      <formula>$H$33</formula>
    </cfRule>
    <cfRule type="cellIs" dxfId="401" priority="4" operator="lessThan">
      <formula>0.9</formula>
    </cfRule>
    <cfRule type="cellIs" dxfId="400" priority="7" operator="lessThan">
      <formula>$H$33</formula>
    </cfRule>
  </conditionalFormatting>
  <dataValidations count="3">
    <dataValidation type="list" allowBlank="1" showInputMessage="1" showErrorMessage="1" sqref="D12" xr:uid="{00000000-0002-0000-0400-000000000000}">
      <formula1>"Furnace #,Boiler #"</formula1>
    </dataValidation>
    <dataValidation type="list" allowBlank="1" showInputMessage="1" showErrorMessage="1" sqref="I15" xr:uid="{00000000-0002-0000-0400-000001000000}">
      <formula1>"Low, Med-Low, Med, Med High, High"</formula1>
    </dataValidation>
    <dataValidation type="custom" allowBlank="1" showInputMessage="1" showErrorMessage="1" errorTitle="INCORRECT # ENTERED" error="The sensible capacity should be less than the total capacity." sqref="G19:H19" xr:uid="{00000000-0002-0000-0400-000002000000}">
      <formula1>G19&lt;F19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3000000}">
          <x14:formula1>
            <xm:f>Data!$Q$1:$Q$15</xm:f>
          </x14:formula1>
          <xm:sqref>C11:I11</xm:sqref>
        </x14:dataValidation>
        <x14:dataValidation type="list" allowBlank="1" showInputMessage="1" showErrorMessage="1" xr:uid="{00000000-0002-0000-0400-000004000000}">
          <x14:formula1>
            <xm:f>Data!$Q$18:$Q$21</xm:f>
          </x14:formula1>
          <xm:sqref>A41:C42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W68"/>
  <sheetViews>
    <sheetView topLeftCell="J1" workbookViewId="0">
      <selection activeCell="P9" sqref="P9"/>
    </sheetView>
  </sheetViews>
  <sheetFormatPr defaultRowHeight="12.75" x14ac:dyDescent="0.2"/>
  <cols>
    <col min="1" max="1" width="29.42578125" bestFit="1" customWidth="1"/>
    <col min="2" max="2" width="8.5703125" bestFit="1" customWidth="1"/>
    <col min="3" max="3" width="6.42578125" bestFit="1" customWidth="1"/>
    <col min="4" max="4" width="9" customWidth="1"/>
    <col min="5" max="5" width="13.85546875" bestFit="1" customWidth="1"/>
    <col min="6" max="6" width="10.28515625" bestFit="1" customWidth="1"/>
    <col min="10" max="10" width="31.28515625" customWidth="1"/>
    <col min="17" max="17" width="70.85546875" bestFit="1" customWidth="1"/>
  </cols>
  <sheetData>
    <row r="1" spans="1:23" x14ac:dyDescent="0.2">
      <c r="A1" s="3" t="s">
        <v>3</v>
      </c>
      <c r="B1" s="3" t="s">
        <v>1</v>
      </c>
      <c r="D1" s="6">
        <v>-0.15</v>
      </c>
      <c r="E1" t="s">
        <v>5</v>
      </c>
      <c r="Q1" s="8" t="s">
        <v>150</v>
      </c>
      <c r="R1" s="1">
        <v>0</v>
      </c>
      <c r="T1" s="1">
        <v>0</v>
      </c>
    </row>
    <row r="2" spans="1:23" x14ac:dyDescent="0.2">
      <c r="A2" s="5">
        <v>0</v>
      </c>
      <c r="B2" s="5">
        <v>21</v>
      </c>
      <c r="D2" s="6">
        <v>0.15</v>
      </c>
      <c r="E2" t="s">
        <v>6</v>
      </c>
      <c r="Q2" s="8" t="s">
        <v>94</v>
      </c>
      <c r="R2" s="1">
        <v>1.1499999999999999</v>
      </c>
      <c r="T2" s="1">
        <v>1.5</v>
      </c>
    </row>
    <row r="3" spans="1:23" x14ac:dyDescent="0.2">
      <c r="A3" s="5">
        <v>0.8</v>
      </c>
      <c r="B3" s="5">
        <v>19</v>
      </c>
      <c r="D3" s="6">
        <v>0.15010000000000001</v>
      </c>
      <c r="E3" t="s">
        <v>5</v>
      </c>
      <c r="Q3" s="8" t="s">
        <v>95</v>
      </c>
      <c r="R3" s="1">
        <v>1.1499999999999999</v>
      </c>
      <c r="T3" s="1">
        <v>1.5</v>
      </c>
    </row>
    <row r="4" spans="1:23" x14ac:dyDescent="0.2">
      <c r="A4" s="5">
        <v>0.85</v>
      </c>
      <c r="B4" s="5">
        <v>17</v>
      </c>
      <c r="Q4" s="8" t="s">
        <v>98</v>
      </c>
      <c r="R4" s="1">
        <v>1.2</v>
      </c>
      <c r="T4" s="1">
        <v>1.5</v>
      </c>
    </row>
    <row r="5" spans="1:23" x14ac:dyDescent="0.2">
      <c r="A5" s="4" t="s">
        <v>4</v>
      </c>
      <c r="B5" s="4" t="e">
        <f>VLOOKUP('Form S-1a'!I19,Data!A2:B4,2)</f>
        <v>#DIV/0!</v>
      </c>
      <c r="Q5" s="8" t="s">
        <v>99</v>
      </c>
      <c r="R5" s="1">
        <v>1.2</v>
      </c>
      <c r="T5" s="1">
        <v>1.5</v>
      </c>
    </row>
    <row r="6" spans="1:23" x14ac:dyDescent="0.2">
      <c r="Q6" s="8" t="s">
        <v>100</v>
      </c>
      <c r="R6" s="1">
        <v>1.3</v>
      </c>
      <c r="T6" s="1">
        <v>1.5</v>
      </c>
    </row>
    <row r="7" spans="1:23" x14ac:dyDescent="0.2">
      <c r="A7" s="7">
        <v>45</v>
      </c>
      <c r="B7" s="7">
        <v>62</v>
      </c>
      <c r="Q7" s="8" t="s">
        <v>101</v>
      </c>
      <c r="R7" s="1">
        <v>1.3</v>
      </c>
      <c r="T7" s="1">
        <v>1.5</v>
      </c>
    </row>
    <row r="8" spans="1:23" x14ac:dyDescent="0.2">
      <c r="A8" s="7">
        <v>50</v>
      </c>
      <c r="B8" s="7">
        <v>63</v>
      </c>
      <c r="M8" s="8" t="s">
        <v>159</v>
      </c>
      <c r="N8" s="8" t="s">
        <v>160</v>
      </c>
      <c r="O8" s="8" t="s">
        <v>161</v>
      </c>
      <c r="P8" s="8" t="s">
        <v>162</v>
      </c>
      <c r="Q8" s="8" t="s">
        <v>96</v>
      </c>
      <c r="R8" s="1" t="e">
        <f>('Form S-1a'!$F$19+15000)/'Form S-1a'!$F$19</f>
        <v>#DIV/0!</v>
      </c>
      <c r="T8" s="1">
        <v>1.5</v>
      </c>
      <c r="U8" s="8"/>
      <c r="V8" s="8"/>
      <c r="W8" s="8"/>
    </row>
    <row r="9" spans="1:23" x14ac:dyDescent="0.2">
      <c r="A9" s="7">
        <v>55</v>
      </c>
      <c r="B9" s="7">
        <v>64</v>
      </c>
      <c r="D9" s="2">
        <f>'Form S-1a'!D52</f>
        <v>0</v>
      </c>
      <c r="F9">
        <v>75</v>
      </c>
      <c r="G9">
        <v>75</v>
      </c>
      <c r="J9" s="136"/>
      <c r="K9" s="136"/>
      <c r="M9" s="2">
        <f>'Form S-1a'!$H$52</f>
        <v>0</v>
      </c>
      <c r="N9" s="2">
        <f>'Form S-1b'!H42</f>
        <v>0</v>
      </c>
      <c r="O9" s="2">
        <f>'Form S-1c'!H48</f>
        <v>0</v>
      </c>
      <c r="P9" s="2">
        <f>'Form S-1d'!H38</f>
        <v>0</v>
      </c>
      <c r="Q9" s="8" t="s">
        <v>97</v>
      </c>
      <c r="R9" s="1" t="e">
        <f>('Form S-1a'!$F$19+15000)/'Form S-1a'!$F$19</f>
        <v>#DIV/0!</v>
      </c>
      <c r="S9" s="8"/>
      <c r="T9" s="1">
        <v>1.5</v>
      </c>
      <c r="U9" s="2"/>
      <c r="V9" s="2"/>
    </row>
    <row r="10" spans="1:23" x14ac:dyDescent="0.2">
      <c r="D10" s="2">
        <f>'Form S-1a'!E52</f>
        <v>0</v>
      </c>
      <c r="F10">
        <v>76</v>
      </c>
      <c r="G10">
        <v>75</v>
      </c>
      <c r="M10" s="2">
        <f>'Form S-1a'!$I$52</f>
        <v>0</v>
      </c>
      <c r="N10" s="2">
        <f>'Form S-1b'!I42</f>
        <v>0</v>
      </c>
      <c r="O10" s="2">
        <f>'Form S-1c'!I48</f>
        <v>0</v>
      </c>
      <c r="P10" s="2">
        <f>'Form S-1d'!I38</f>
        <v>0</v>
      </c>
      <c r="Q10" s="8" t="s">
        <v>102</v>
      </c>
      <c r="R10" s="1" t="e">
        <f>('Form S-1a'!$F$19+15000)/'Form S-1a'!$F$19</f>
        <v>#DIV/0!</v>
      </c>
      <c r="S10" s="2"/>
      <c r="T10" s="1">
        <v>1.5</v>
      </c>
      <c r="U10" s="2"/>
      <c r="V10" s="2"/>
    </row>
    <row r="11" spans="1:23" x14ac:dyDescent="0.2">
      <c r="D11" s="2">
        <f>(D9-D10)/30</f>
        <v>0</v>
      </c>
      <c r="F11">
        <v>77</v>
      </c>
      <c r="G11">
        <v>75</v>
      </c>
      <c r="M11" s="2">
        <f>(M9-M10)/30</f>
        <v>0</v>
      </c>
      <c r="N11" s="2">
        <f>(N9-N10)/30</f>
        <v>0</v>
      </c>
      <c r="O11" s="2">
        <f>(O9-O10)/30</f>
        <v>0</v>
      </c>
      <c r="P11" s="2">
        <f>(P9-P10)/30</f>
        <v>0</v>
      </c>
      <c r="Q11" s="8" t="s">
        <v>103</v>
      </c>
      <c r="R11" s="1" t="e">
        <f>('Form S-1a'!$F$19+15000)/'Form S-1a'!$F$19</f>
        <v>#DIV/0!</v>
      </c>
      <c r="S11" s="2"/>
      <c r="T11" s="1">
        <v>1.5</v>
      </c>
      <c r="U11" s="2"/>
      <c r="V11" s="2"/>
    </row>
    <row r="12" spans="1:23" x14ac:dyDescent="0.2">
      <c r="D12" s="2">
        <f>17-'Form S-1a'!I8</f>
        <v>17</v>
      </c>
      <c r="F12">
        <v>78</v>
      </c>
      <c r="G12">
        <v>75</v>
      </c>
      <c r="M12" s="2">
        <f>17-'Form S-1a'!$I$8</f>
        <v>17</v>
      </c>
      <c r="N12" s="2">
        <f>17-'Form S-1b'!$I$8</f>
        <v>17</v>
      </c>
      <c r="O12" s="2">
        <f>17-'Form S-1c'!$I$8</f>
        <v>17</v>
      </c>
      <c r="P12" s="2">
        <f>17-'Form S-1d'!$I$8</f>
        <v>17</v>
      </c>
      <c r="Q12" s="8" t="s">
        <v>104</v>
      </c>
      <c r="R12" s="1" t="e">
        <f>('Form S-1a'!$F$19+15000)/'Form S-1a'!$F$19</f>
        <v>#DIV/0!</v>
      </c>
      <c r="S12" s="2"/>
      <c r="T12" s="1">
        <v>1.5</v>
      </c>
      <c r="U12" s="2"/>
      <c r="V12" s="2"/>
    </row>
    <row r="13" spans="1:23" x14ac:dyDescent="0.2">
      <c r="D13" s="2">
        <f>D11*D12</f>
        <v>0</v>
      </c>
      <c r="F13">
        <v>79</v>
      </c>
      <c r="G13">
        <v>75</v>
      </c>
      <c r="M13" s="2">
        <f>M11*M12</f>
        <v>0</v>
      </c>
      <c r="N13" s="2">
        <f t="shared" ref="N13:P13" si="0">N11*N12</f>
        <v>0</v>
      </c>
      <c r="O13" s="2">
        <f t="shared" si="0"/>
        <v>0</v>
      </c>
      <c r="P13" s="2">
        <f t="shared" si="0"/>
        <v>0</v>
      </c>
      <c r="Q13" s="8" t="s">
        <v>105</v>
      </c>
      <c r="R13" s="1" t="e">
        <f>('Form S-1a'!$F$19+15000)/'Form S-1a'!$F$19</f>
        <v>#DIV/0!</v>
      </c>
      <c r="S13" s="2"/>
      <c r="T13" s="1">
        <v>1.5</v>
      </c>
      <c r="U13" s="2"/>
      <c r="V13" s="2"/>
    </row>
    <row r="14" spans="1:23" x14ac:dyDescent="0.2">
      <c r="A14" t="s">
        <v>7</v>
      </c>
      <c r="B14" s="2">
        <f>'Form S-1a'!I8</f>
        <v>0</v>
      </c>
      <c r="D14" s="2">
        <f>D10-D13</f>
        <v>0</v>
      </c>
      <c r="F14">
        <v>80</v>
      </c>
      <c r="G14">
        <v>75</v>
      </c>
      <c r="J14" t="s">
        <v>7</v>
      </c>
      <c r="K14" s="2">
        <f>'Form S-1a'!L8</f>
        <v>0</v>
      </c>
      <c r="M14" s="2">
        <f>M10-M13</f>
        <v>0</v>
      </c>
      <c r="N14" s="2">
        <f t="shared" ref="N14:P14" si="1">N10-N13</f>
        <v>0</v>
      </c>
      <c r="O14" s="2">
        <f t="shared" si="1"/>
        <v>0</v>
      </c>
      <c r="P14" s="2">
        <f t="shared" si="1"/>
        <v>0</v>
      </c>
      <c r="Q14" s="8" t="s">
        <v>139</v>
      </c>
      <c r="R14" s="1" t="e">
        <f>('Form S-1a'!$F$19+15000)/'Form S-1a'!$F$19</f>
        <v>#DIV/0!</v>
      </c>
      <c r="S14" s="2"/>
      <c r="T14" s="1">
        <v>1.5</v>
      </c>
      <c r="U14" s="2"/>
      <c r="V14" s="2"/>
    </row>
    <row r="15" spans="1:23" x14ac:dyDescent="0.2">
      <c r="A15" t="s">
        <v>8</v>
      </c>
      <c r="B15" s="2">
        <f>B14</f>
        <v>0</v>
      </c>
      <c r="D15" s="2">
        <f>'Form S-1a'!E19</f>
        <v>0</v>
      </c>
      <c r="F15">
        <v>81</v>
      </c>
      <c r="G15">
        <v>75</v>
      </c>
      <c r="J15" t="s">
        <v>8</v>
      </c>
      <c r="K15" s="2">
        <f>K14</f>
        <v>0</v>
      </c>
      <c r="M15" s="2">
        <f>'Form S-1a'!$E$19</f>
        <v>0</v>
      </c>
      <c r="N15" s="2">
        <f>'Form S-1b'!$E$19</f>
        <v>0</v>
      </c>
      <c r="O15" s="2">
        <f>'Form S-1c'!$E$19</f>
        <v>0</v>
      </c>
      <c r="P15" s="2">
        <f>'Form S-1d'!$E$19</f>
        <v>0</v>
      </c>
      <c r="Q15" s="8" t="s">
        <v>146</v>
      </c>
      <c r="R15" s="1" t="e">
        <f>('Form S-1a'!$F$19+15000)/'Form S-1a'!$F$19</f>
        <v>#DIV/0!</v>
      </c>
      <c r="S15" s="2"/>
      <c r="T15" s="1">
        <v>1.5</v>
      </c>
      <c r="U15" s="2">
        <v>1.4</v>
      </c>
      <c r="V15" s="2"/>
    </row>
    <row r="16" spans="1:23" x14ac:dyDescent="0.2">
      <c r="A16" t="s">
        <v>9</v>
      </c>
      <c r="D16" s="1">
        <f>(D15-D14)/3413</f>
        <v>0</v>
      </c>
      <c r="E16" t="s">
        <v>10</v>
      </c>
      <c r="F16">
        <v>82</v>
      </c>
      <c r="G16">
        <v>75</v>
      </c>
      <c r="J16" t="s">
        <v>9</v>
      </c>
      <c r="M16" s="1">
        <f>(M15-M14)/3413</f>
        <v>0</v>
      </c>
      <c r="N16" s="1">
        <f t="shared" ref="N16:P16" si="2">(N15-N14)/3413</f>
        <v>0</v>
      </c>
      <c r="O16" s="1">
        <f t="shared" si="2"/>
        <v>0</v>
      </c>
      <c r="P16" s="1">
        <f t="shared" si="2"/>
        <v>0</v>
      </c>
      <c r="Q16" s="2"/>
      <c r="R16" s="2"/>
      <c r="S16" s="2"/>
      <c r="T16" s="2"/>
      <c r="U16" s="2"/>
      <c r="V16" s="1"/>
    </row>
    <row r="17" spans="1:21" x14ac:dyDescent="0.2">
      <c r="F17">
        <v>83</v>
      </c>
      <c r="G17">
        <v>75</v>
      </c>
      <c r="Q17" s="2"/>
      <c r="R17" s="2"/>
      <c r="S17" s="2"/>
      <c r="T17" s="2"/>
      <c r="U17" s="1"/>
    </row>
    <row r="18" spans="1:21" x14ac:dyDescent="0.2">
      <c r="A18" t="s">
        <v>21</v>
      </c>
      <c r="F18">
        <v>84</v>
      </c>
      <c r="G18">
        <v>75</v>
      </c>
      <c r="Q18" s="213" t="s">
        <v>150</v>
      </c>
      <c r="R18" s="214">
        <v>0</v>
      </c>
      <c r="S18" s="2"/>
      <c r="T18" s="2"/>
    </row>
    <row r="19" spans="1:21" x14ac:dyDescent="0.2">
      <c r="A19" s="2">
        <v>0</v>
      </c>
      <c r="B19" s="1">
        <v>1</v>
      </c>
      <c r="D19" s="8" t="s">
        <v>55</v>
      </c>
      <c r="F19">
        <v>85</v>
      </c>
      <c r="G19">
        <v>85</v>
      </c>
      <c r="Q19" s="213" t="s">
        <v>133</v>
      </c>
      <c r="R19" s="214">
        <v>2</v>
      </c>
      <c r="S19" s="1"/>
      <c r="T19" s="1"/>
    </row>
    <row r="20" spans="1:21" x14ac:dyDescent="0.2">
      <c r="A20" s="2">
        <v>1000</v>
      </c>
      <c r="B20" s="1">
        <v>0.98</v>
      </c>
      <c r="D20" s="8" t="s">
        <v>56</v>
      </c>
      <c r="F20">
        <v>86</v>
      </c>
      <c r="G20">
        <v>85</v>
      </c>
      <c r="Q20" s="213" t="s">
        <v>148</v>
      </c>
      <c r="R20" s="214">
        <v>1.4</v>
      </c>
    </row>
    <row r="21" spans="1:21" x14ac:dyDescent="0.2">
      <c r="A21" s="2">
        <v>2000</v>
      </c>
      <c r="B21" s="1">
        <v>0.97</v>
      </c>
      <c r="F21">
        <v>87</v>
      </c>
      <c r="G21">
        <v>85</v>
      </c>
      <c r="Q21" s="213" t="s">
        <v>149</v>
      </c>
      <c r="R21" s="214">
        <v>1.4</v>
      </c>
    </row>
    <row r="22" spans="1:21" x14ac:dyDescent="0.2">
      <c r="A22" s="2">
        <v>3000</v>
      </c>
      <c r="B22" s="1">
        <v>0.95</v>
      </c>
      <c r="D22">
        <v>57</v>
      </c>
      <c r="F22">
        <v>88</v>
      </c>
      <c r="G22">
        <v>85</v>
      </c>
      <c r="Q22" s="213"/>
    </row>
    <row r="23" spans="1:21" ht="13.5" thickBot="1" x14ac:dyDescent="0.25">
      <c r="A23" s="2">
        <v>4000</v>
      </c>
      <c r="B23" s="1">
        <v>0.94</v>
      </c>
      <c r="D23">
        <v>62</v>
      </c>
      <c r="F23">
        <v>89</v>
      </c>
      <c r="G23">
        <v>85</v>
      </c>
      <c r="Q23" s="213"/>
    </row>
    <row r="24" spans="1:21" x14ac:dyDescent="0.2">
      <c r="A24" s="2">
        <v>5000</v>
      </c>
      <c r="B24" s="1">
        <v>0.92</v>
      </c>
      <c r="D24">
        <v>67</v>
      </c>
      <c r="F24">
        <v>90</v>
      </c>
      <c r="G24">
        <v>85</v>
      </c>
      <c r="K24" s="290" t="s">
        <v>79</v>
      </c>
      <c r="L24" s="291"/>
      <c r="M24" s="291"/>
      <c r="N24" s="291"/>
      <c r="O24" s="292"/>
    </row>
    <row r="25" spans="1:21" x14ac:dyDescent="0.2">
      <c r="A25" s="2">
        <v>6000</v>
      </c>
      <c r="B25" s="1">
        <v>0.9</v>
      </c>
      <c r="D25">
        <v>72</v>
      </c>
      <c r="F25">
        <v>91</v>
      </c>
      <c r="G25">
        <v>85</v>
      </c>
      <c r="K25" s="133"/>
      <c r="L25" s="132" t="s">
        <v>76</v>
      </c>
      <c r="M25" s="293" t="s">
        <v>77</v>
      </c>
      <c r="N25" s="293"/>
      <c r="O25" s="294"/>
    </row>
    <row r="26" spans="1:21" x14ac:dyDescent="0.2">
      <c r="A26" s="2">
        <v>7000</v>
      </c>
      <c r="B26" s="1">
        <v>0.89</v>
      </c>
      <c r="F26">
        <v>92</v>
      </c>
      <c r="G26">
        <v>85</v>
      </c>
      <c r="K26" s="134" t="s">
        <v>78</v>
      </c>
      <c r="L26" s="132" t="s">
        <v>42</v>
      </c>
      <c r="M26" s="132" t="s">
        <v>80</v>
      </c>
      <c r="N26" s="132" t="s">
        <v>81</v>
      </c>
      <c r="O26" s="135" t="s">
        <v>82</v>
      </c>
    </row>
    <row r="27" spans="1:21" x14ac:dyDescent="0.2">
      <c r="A27" s="2">
        <v>8000</v>
      </c>
      <c r="B27" s="1">
        <v>0.87</v>
      </c>
      <c r="F27">
        <v>93</v>
      </c>
      <c r="G27">
        <v>85</v>
      </c>
      <c r="K27" s="160">
        <v>0</v>
      </c>
      <c r="L27" s="161">
        <v>1</v>
      </c>
      <c r="M27" s="161">
        <v>1</v>
      </c>
      <c r="N27" s="161">
        <v>1</v>
      </c>
      <c r="O27" s="162">
        <v>1</v>
      </c>
    </row>
    <row r="28" spans="1:21" x14ac:dyDescent="0.2">
      <c r="A28" s="2">
        <v>9000</v>
      </c>
      <c r="B28" s="1">
        <v>0.86</v>
      </c>
      <c r="F28">
        <v>94</v>
      </c>
      <c r="G28">
        <v>85</v>
      </c>
      <c r="K28" s="163">
        <v>1000</v>
      </c>
      <c r="L28" s="161">
        <v>0.96</v>
      </c>
      <c r="M28" s="161">
        <v>0.99</v>
      </c>
      <c r="N28" s="161">
        <v>0.97</v>
      </c>
      <c r="O28" s="162">
        <v>0.98</v>
      </c>
    </row>
    <row r="29" spans="1:21" x14ac:dyDescent="0.2">
      <c r="A29" s="2">
        <v>10000</v>
      </c>
      <c r="B29" s="1">
        <v>0.84</v>
      </c>
      <c r="F29">
        <v>95</v>
      </c>
      <c r="G29">
        <v>95</v>
      </c>
      <c r="K29" s="163">
        <v>2000</v>
      </c>
      <c r="L29" s="161">
        <v>0.92</v>
      </c>
      <c r="M29" s="161">
        <v>0.98</v>
      </c>
      <c r="N29" s="161">
        <v>0.94</v>
      </c>
      <c r="O29" s="162">
        <v>0.97</v>
      </c>
    </row>
    <row r="30" spans="1:21" x14ac:dyDescent="0.2">
      <c r="A30" s="2">
        <v>11000</v>
      </c>
      <c r="B30" s="1">
        <v>0.82</v>
      </c>
      <c r="F30">
        <v>96</v>
      </c>
      <c r="G30">
        <v>95</v>
      </c>
      <c r="K30" s="163">
        <v>3000</v>
      </c>
      <c r="L30" s="161">
        <v>0.88</v>
      </c>
      <c r="M30" s="161">
        <v>0.98</v>
      </c>
      <c r="N30" s="161">
        <v>0.91</v>
      </c>
      <c r="O30" s="162">
        <v>0.95</v>
      </c>
    </row>
    <row r="31" spans="1:21" x14ac:dyDescent="0.2">
      <c r="A31" s="2">
        <v>12000</v>
      </c>
      <c r="B31" s="1">
        <v>0.81</v>
      </c>
      <c r="F31">
        <v>97</v>
      </c>
      <c r="G31">
        <v>95</v>
      </c>
      <c r="K31" s="163">
        <v>4000</v>
      </c>
      <c r="L31" s="161">
        <v>0.84</v>
      </c>
      <c r="M31" s="161">
        <v>0.97</v>
      </c>
      <c r="N31" s="161">
        <v>0.88</v>
      </c>
      <c r="O31" s="162">
        <v>0.94</v>
      </c>
    </row>
    <row r="32" spans="1:21" x14ac:dyDescent="0.2">
      <c r="F32">
        <v>98</v>
      </c>
      <c r="G32">
        <v>95</v>
      </c>
      <c r="K32" s="163">
        <v>5000</v>
      </c>
      <c r="L32" s="161">
        <v>0.8</v>
      </c>
      <c r="M32" s="161">
        <v>0.96</v>
      </c>
      <c r="N32" s="161">
        <v>0.85</v>
      </c>
      <c r="O32" s="162">
        <v>0.92</v>
      </c>
    </row>
    <row r="33" spans="6:15" x14ac:dyDescent="0.2">
      <c r="F33">
        <v>99</v>
      </c>
      <c r="G33">
        <v>95</v>
      </c>
      <c r="K33" s="163">
        <v>6000</v>
      </c>
      <c r="L33" s="161">
        <v>0.76</v>
      </c>
      <c r="M33" s="161">
        <v>0.95</v>
      </c>
      <c r="N33" s="161">
        <v>0.82</v>
      </c>
      <c r="O33" s="162">
        <v>0.9</v>
      </c>
    </row>
    <row r="34" spans="6:15" x14ac:dyDescent="0.2">
      <c r="F34">
        <v>100</v>
      </c>
      <c r="G34">
        <v>95</v>
      </c>
      <c r="K34" s="163">
        <v>7000</v>
      </c>
      <c r="L34" s="161">
        <v>0.72</v>
      </c>
      <c r="M34" s="161">
        <v>0.94</v>
      </c>
      <c r="N34" s="161">
        <v>0.8</v>
      </c>
      <c r="O34" s="162">
        <v>0.89</v>
      </c>
    </row>
    <row r="35" spans="6:15" x14ac:dyDescent="0.2">
      <c r="F35">
        <v>101</v>
      </c>
      <c r="G35">
        <v>95</v>
      </c>
      <c r="K35" s="163">
        <v>8000</v>
      </c>
      <c r="L35" s="161">
        <v>0.68</v>
      </c>
      <c r="M35" s="161">
        <v>0.94</v>
      </c>
      <c r="N35" s="161">
        <v>0.77</v>
      </c>
      <c r="O35" s="162">
        <v>0.87</v>
      </c>
    </row>
    <row r="36" spans="6:15" x14ac:dyDescent="0.2">
      <c r="F36">
        <v>102</v>
      </c>
      <c r="G36">
        <v>95</v>
      </c>
      <c r="K36" s="163">
        <v>9000</v>
      </c>
      <c r="L36" s="161">
        <v>0.64</v>
      </c>
      <c r="M36" s="161">
        <v>0.93</v>
      </c>
      <c r="N36" s="161">
        <v>0.74</v>
      </c>
      <c r="O36" s="162">
        <v>0.86</v>
      </c>
    </row>
    <row r="37" spans="6:15" x14ac:dyDescent="0.2">
      <c r="F37">
        <v>103</v>
      </c>
      <c r="G37">
        <v>95</v>
      </c>
      <c r="K37" s="163">
        <v>10000</v>
      </c>
      <c r="L37" s="161">
        <v>0.6</v>
      </c>
      <c r="M37" s="161">
        <v>0.92</v>
      </c>
      <c r="N37" s="161">
        <v>0.71</v>
      </c>
      <c r="O37" s="162">
        <v>0.84</v>
      </c>
    </row>
    <row r="38" spans="6:15" x14ac:dyDescent="0.2">
      <c r="F38">
        <v>104</v>
      </c>
      <c r="G38">
        <v>95</v>
      </c>
      <c r="K38" s="163">
        <v>11000</v>
      </c>
      <c r="L38" s="161">
        <v>0.56000000000000005</v>
      </c>
      <c r="M38" s="161">
        <v>0.91</v>
      </c>
      <c r="N38" s="161">
        <v>0.68</v>
      </c>
      <c r="O38" s="162">
        <v>0.82</v>
      </c>
    </row>
    <row r="39" spans="6:15" ht="13.5" thickBot="1" x14ac:dyDescent="0.25">
      <c r="F39">
        <v>105</v>
      </c>
      <c r="G39">
        <v>105</v>
      </c>
      <c r="K39" s="164">
        <v>12000</v>
      </c>
      <c r="L39" s="165">
        <v>0.52</v>
      </c>
      <c r="M39" s="165">
        <v>0.9</v>
      </c>
      <c r="N39" s="165">
        <v>0.65</v>
      </c>
      <c r="O39" s="166">
        <v>0.81</v>
      </c>
    </row>
    <row r="40" spans="6:15" x14ac:dyDescent="0.2">
      <c r="F40">
        <v>106</v>
      </c>
      <c r="G40">
        <v>105</v>
      </c>
    </row>
    <row r="41" spans="6:15" x14ac:dyDescent="0.2">
      <c r="F41">
        <v>107</v>
      </c>
      <c r="G41">
        <v>105</v>
      </c>
      <c r="L41">
        <f>VLOOKUP('Form S-1a'!$I$9,$K$27:$O$39,2)</f>
        <v>1</v>
      </c>
      <c r="M41">
        <f>VLOOKUP('Form S-1a'!$I$9,$K$27:$O$39,3)</f>
        <v>1</v>
      </c>
      <c r="N41">
        <f>VLOOKUP('Form S-1a'!$I$9,$K$27:$O$39,4)</f>
        <v>1</v>
      </c>
      <c r="O41">
        <f>VLOOKUP('Form S-1a'!$I$9,$K$27:$O$39,5)</f>
        <v>1</v>
      </c>
    </row>
    <row r="42" spans="6:15" x14ac:dyDescent="0.2">
      <c r="F42">
        <v>108</v>
      </c>
      <c r="G42">
        <v>105</v>
      </c>
      <c r="L42">
        <f>VLOOKUP('Form S-1b'!$I$9,$K$27:$O$39,2)</f>
        <v>1</v>
      </c>
      <c r="M42">
        <f>VLOOKUP('Form S-1b'!$I$9,$K$27:$O$39,3)</f>
        <v>1</v>
      </c>
      <c r="N42">
        <f>VLOOKUP('Form S-1b'!$I$9,$K$27:$O$39,4)</f>
        <v>1</v>
      </c>
      <c r="O42">
        <f>VLOOKUP('Form S-1b'!$I$9,$K$27:$O$39,5)</f>
        <v>1</v>
      </c>
    </row>
    <row r="43" spans="6:15" x14ac:dyDescent="0.2">
      <c r="F43">
        <v>109</v>
      </c>
      <c r="G43">
        <v>105</v>
      </c>
      <c r="L43">
        <f>VLOOKUP('Form S-1c'!$I$9,$K$27:$O$39,2)</f>
        <v>1</v>
      </c>
      <c r="M43">
        <f>VLOOKUP('Form S-1c'!$I$9,$K$27:$O$39,3)</f>
        <v>1</v>
      </c>
      <c r="N43">
        <f>VLOOKUP('Form S-1c'!$I$9,$K$27:$O$39,4)</f>
        <v>1</v>
      </c>
      <c r="O43">
        <f>VLOOKUP('Form S-1c'!$I$9,$K$27:$O$39,5)</f>
        <v>1</v>
      </c>
    </row>
    <row r="44" spans="6:15" x14ac:dyDescent="0.2">
      <c r="F44">
        <v>110</v>
      </c>
      <c r="G44">
        <v>105</v>
      </c>
      <c r="L44">
        <f>VLOOKUP('Form S-1d'!$I$9,$K$27:$O$39,2)</f>
        <v>0.88</v>
      </c>
      <c r="M44">
        <f>VLOOKUP('Form S-1d'!$I$9,$K$27:$O$39,3)</f>
        <v>0.98</v>
      </c>
      <c r="N44">
        <f>VLOOKUP('Form S-1d'!$I$9,$K$27:$O$39,4)</f>
        <v>0.91</v>
      </c>
      <c r="O44">
        <f>VLOOKUP('Form S-1d'!$I$9,$K$27:$O$39,5)</f>
        <v>0.95</v>
      </c>
    </row>
    <row r="45" spans="6:15" x14ac:dyDescent="0.2">
      <c r="F45">
        <v>111</v>
      </c>
      <c r="G45">
        <v>105</v>
      </c>
    </row>
    <row r="46" spans="6:15" x14ac:dyDescent="0.2">
      <c r="F46">
        <v>112</v>
      </c>
      <c r="G46">
        <v>105</v>
      </c>
    </row>
    <row r="47" spans="6:15" x14ac:dyDescent="0.2">
      <c r="F47">
        <v>113</v>
      </c>
      <c r="G47">
        <v>105</v>
      </c>
    </row>
    <row r="48" spans="6:15" x14ac:dyDescent="0.2">
      <c r="F48">
        <v>114</v>
      </c>
      <c r="G48">
        <v>105</v>
      </c>
    </row>
    <row r="49" spans="6:7" x14ac:dyDescent="0.2">
      <c r="F49">
        <v>115</v>
      </c>
      <c r="G49">
        <v>115</v>
      </c>
    </row>
    <row r="50" spans="6:7" x14ac:dyDescent="0.2">
      <c r="F50">
        <v>116</v>
      </c>
      <c r="G50">
        <v>115</v>
      </c>
    </row>
    <row r="51" spans="6:7" x14ac:dyDescent="0.2">
      <c r="F51">
        <v>117</v>
      </c>
      <c r="G51">
        <v>115</v>
      </c>
    </row>
    <row r="52" spans="6:7" x14ac:dyDescent="0.2">
      <c r="F52">
        <v>118</v>
      </c>
      <c r="G52">
        <v>115</v>
      </c>
    </row>
    <row r="53" spans="6:7" x14ac:dyDescent="0.2">
      <c r="F53">
        <v>119</v>
      </c>
      <c r="G53">
        <v>115</v>
      </c>
    </row>
    <row r="54" spans="6:7" x14ac:dyDescent="0.2">
      <c r="F54">
        <v>120</v>
      </c>
      <c r="G54">
        <v>115</v>
      </c>
    </row>
    <row r="55" spans="6:7" x14ac:dyDescent="0.2">
      <c r="F55">
        <v>121</v>
      </c>
      <c r="G55">
        <v>115</v>
      </c>
    </row>
    <row r="56" spans="6:7" x14ac:dyDescent="0.2">
      <c r="F56">
        <v>122</v>
      </c>
      <c r="G56">
        <v>115</v>
      </c>
    </row>
    <row r="57" spans="6:7" x14ac:dyDescent="0.2">
      <c r="F57">
        <v>123</v>
      </c>
      <c r="G57">
        <v>115</v>
      </c>
    </row>
    <row r="58" spans="6:7" x14ac:dyDescent="0.2">
      <c r="F58">
        <v>124</v>
      </c>
      <c r="G58">
        <v>115</v>
      </c>
    </row>
    <row r="59" spans="6:7" x14ac:dyDescent="0.2">
      <c r="F59">
        <v>125</v>
      </c>
      <c r="G59">
        <v>125</v>
      </c>
    </row>
    <row r="60" spans="6:7" x14ac:dyDescent="0.2">
      <c r="F60">
        <v>126</v>
      </c>
      <c r="G60">
        <v>125</v>
      </c>
    </row>
    <row r="61" spans="6:7" x14ac:dyDescent="0.2">
      <c r="F61">
        <v>127</v>
      </c>
      <c r="G61">
        <v>125</v>
      </c>
    </row>
    <row r="62" spans="6:7" x14ac:dyDescent="0.2">
      <c r="F62">
        <v>128</v>
      </c>
      <c r="G62">
        <v>125</v>
      </c>
    </row>
    <row r="63" spans="6:7" x14ac:dyDescent="0.2">
      <c r="F63">
        <v>129</v>
      </c>
      <c r="G63">
        <v>125</v>
      </c>
    </row>
    <row r="64" spans="6:7" x14ac:dyDescent="0.2">
      <c r="F64">
        <v>130</v>
      </c>
      <c r="G64">
        <v>125</v>
      </c>
    </row>
    <row r="65" spans="6:7" x14ac:dyDescent="0.2">
      <c r="F65">
        <v>131</v>
      </c>
      <c r="G65">
        <v>125</v>
      </c>
    </row>
    <row r="66" spans="6:7" x14ac:dyDescent="0.2">
      <c r="F66">
        <v>132</v>
      </c>
      <c r="G66">
        <v>125</v>
      </c>
    </row>
    <row r="67" spans="6:7" x14ac:dyDescent="0.2">
      <c r="F67">
        <v>133</v>
      </c>
      <c r="G67">
        <v>125</v>
      </c>
    </row>
    <row r="68" spans="6:7" x14ac:dyDescent="0.2">
      <c r="F68">
        <v>134</v>
      </c>
      <c r="G68">
        <v>125</v>
      </c>
    </row>
  </sheetData>
  <mergeCells count="2">
    <mergeCell ref="K24:O24"/>
    <mergeCell ref="M25:O25"/>
  </mergeCells>
  <phoneticPr fontId="2" type="noConversion"/>
  <pageMargins left="0.75" right="0.75" top="1" bottom="1" header="0.5" footer="0.5"/>
  <headerFooter alignWithMargins="0"/>
  <customProperties>
    <customPr name="SSCSheetTrackingNo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5" ht="7.5" customHeight="1" x14ac:dyDescent="0.2"/>
    <row r="2" spans="2:15" ht="15" customHeight="1" x14ac:dyDescent="0.2">
      <c r="B2" s="149" t="s">
        <v>91</v>
      </c>
      <c r="C2" s="95"/>
      <c r="F2" s="81"/>
      <c r="G2" s="81"/>
      <c r="H2" s="81"/>
    </row>
    <row r="3" spans="2:15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5" ht="15" customHeight="1" x14ac:dyDescent="0.2">
      <c r="B4" s="148" t="e">
        <f>#REF!</f>
        <v>#REF!</v>
      </c>
      <c r="C4" s="94"/>
      <c r="F4" s="82"/>
      <c r="G4" s="82"/>
      <c r="H4" s="82"/>
    </row>
    <row r="5" spans="2:15" ht="19.5" customHeight="1" x14ac:dyDescent="0.2">
      <c r="I5" s="66"/>
      <c r="J5" s="66"/>
    </row>
    <row r="6" spans="2:15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  <c r="M6" s="405"/>
      <c r="N6" s="405"/>
      <c r="O6" s="405"/>
    </row>
    <row r="7" spans="2:15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  <c r="M7" s="405"/>
      <c r="N7" s="405"/>
      <c r="O7" s="405"/>
    </row>
    <row r="8" spans="2:15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  <c r="M8" s="405"/>
      <c r="N8" s="405"/>
      <c r="O8" s="405"/>
    </row>
    <row r="9" spans="2:15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  <c r="M9" s="405"/>
      <c r="N9" s="405"/>
      <c r="O9" s="405"/>
    </row>
    <row r="10" spans="2:15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  <c r="M10" s="405"/>
      <c r="N10" s="405"/>
      <c r="O10" s="405"/>
    </row>
    <row r="11" spans="2:15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  <c r="M11" s="405"/>
      <c r="N11" s="405"/>
      <c r="O11" s="405"/>
    </row>
    <row r="12" spans="2:15" ht="7.5" customHeight="1" thickBot="1" x14ac:dyDescent="0.25">
      <c r="G12" s="79"/>
      <c r="H12" s="79"/>
      <c r="I12" s="79"/>
      <c r="J12" s="45"/>
    </row>
    <row r="13" spans="2:15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5" ht="8.25" customHeight="1" x14ac:dyDescent="0.2">
      <c r="B14" s="105"/>
      <c r="C14" s="104"/>
      <c r="D14" s="104"/>
      <c r="E14" s="103"/>
      <c r="F14" s="105"/>
      <c r="G14" s="104"/>
      <c r="H14" s="104"/>
    </row>
    <row r="15" spans="2:15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/>
    </row>
    <row r="16" spans="2:15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>
        <f>Data!O16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e">
        <f>'Form S-1a'!#REF!</f>
        <v>#REF!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3">
    <mergeCell ref="M6:O11"/>
    <mergeCell ref="J62:J63"/>
    <mergeCell ref="L62:L63"/>
    <mergeCell ref="B66:J66"/>
    <mergeCell ref="F39:F40"/>
    <mergeCell ref="G39:G40"/>
    <mergeCell ref="F41:F42"/>
    <mergeCell ref="G41:G42"/>
    <mergeCell ref="F43:F44"/>
    <mergeCell ref="G43:G44"/>
    <mergeCell ref="L58:L59"/>
    <mergeCell ref="B55:D56"/>
    <mergeCell ref="B58:D60"/>
    <mergeCell ref="B62:D64"/>
    <mergeCell ref="G62:G63"/>
    <mergeCell ref="H62:H63"/>
    <mergeCell ref="I62:I63"/>
    <mergeCell ref="H58:H59"/>
    <mergeCell ref="I58:I59"/>
    <mergeCell ref="J58:J59"/>
    <mergeCell ref="M18:Q18"/>
    <mergeCell ref="O19:Q19"/>
    <mergeCell ref="K26:K27"/>
    <mergeCell ref="K37:K38"/>
    <mergeCell ref="J48:J49"/>
    <mergeCell ref="J37:J38"/>
    <mergeCell ref="J22:J23"/>
    <mergeCell ref="A48:A53"/>
    <mergeCell ref="D48:D49"/>
    <mergeCell ref="D26:D27"/>
    <mergeCell ref="E26:E27"/>
    <mergeCell ref="B41:D41"/>
    <mergeCell ref="B44:D44"/>
    <mergeCell ref="A26:A35"/>
    <mergeCell ref="B28:D28"/>
    <mergeCell ref="A37:A46"/>
    <mergeCell ref="B33:D33"/>
    <mergeCell ref="E37:E38"/>
    <mergeCell ref="B34:D34"/>
    <mergeCell ref="B39:D39"/>
    <mergeCell ref="B53:D53"/>
    <mergeCell ref="E53:F53"/>
    <mergeCell ref="B50:D50"/>
    <mergeCell ref="B51:D51"/>
    <mergeCell ref="B52:D52"/>
    <mergeCell ref="B43:D43"/>
    <mergeCell ref="E50:E52"/>
    <mergeCell ref="F50:F52"/>
    <mergeCell ref="E39:E45"/>
    <mergeCell ref="B46:D46"/>
    <mergeCell ref="B45:D45"/>
    <mergeCell ref="B42:D42"/>
    <mergeCell ref="B40:D40"/>
    <mergeCell ref="E48:E49"/>
    <mergeCell ref="G9:I9"/>
    <mergeCell ref="C8:E8"/>
    <mergeCell ref="G8:I8"/>
    <mergeCell ref="D37:D38"/>
    <mergeCell ref="B29:D29"/>
    <mergeCell ref="B30:D30"/>
    <mergeCell ref="B15:B18"/>
    <mergeCell ref="F18:H18"/>
    <mergeCell ref="B19:C19"/>
    <mergeCell ref="B22:B24"/>
    <mergeCell ref="G22:G23"/>
    <mergeCell ref="H22:H23"/>
    <mergeCell ref="I22:I23"/>
    <mergeCell ref="G30:G31"/>
    <mergeCell ref="F17:H17"/>
    <mergeCell ref="G10:I10"/>
    <mergeCell ref="G50:G52"/>
    <mergeCell ref="H3:I3"/>
    <mergeCell ref="B6:E6"/>
    <mergeCell ref="G6:J6"/>
    <mergeCell ref="C7:E7"/>
    <mergeCell ref="G7:I7"/>
    <mergeCell ref="B35:D35"/>
    <mergeCell ref="G11:I11"/>
    <mergeCell ref="C13:E13"/>
    <mergeCell ref="G13:J13"/>
    <mergeCell ref="B31:D31"/>
    <mergeCell ref="B32:D32"/>
    <mergeCell ref="I18:J18"/>
    <mergeCell ref="F15:H15"/>
    <mergeCell ref="C9:E9"/>
    <mergeCell ref="F16:H16"/>
    <mergeCell ref="E28:E34"/>
    <mergeCell ref="F32:F33"/>
    <mergeCell ref="J26:J27"/>
    <mergeCell ref="F28:F29"/>
    <mergeCell ref="G28:G29"/>
    <mergeCell ref="F30:F31"/>
    <mergeCell ref="G32:G33"/>
  </mergeCells>
  <conditionalFormatting sqref="J39:J44">
    <cfRule type="cellIs" dxfId="399" priority="17" operator="greaterThan">
      <formula>1</formula>
    </cfRule>
  </conditionalFormatting>
  <conditionalFormatting sqref="I53">
    <cfRule type="cellIs" dxfId="398" priority="47" operator="greaterThanOrEqual">
      <formula>1</formula>
    </cfRule>
    <cfRule type="cellIs" dxfId="397" priority="48" operator="lessThan">
      <formula>1</formula>
    </cfRule>
  </conditionalFormatting>
  <conditionalFormatting sqref="G53">
    <cfRule type="cellIs" dxfId="396" priority="25" operator="greaterThan">
      <formula>1.25</formula>
    </cfRule>
    <cfRule type="cellIs" dxfId="395" priority="26" operator="greaterThan">
      <formula>1.15</formula>
    </cfRule>
    <cfRule type="cellIs" dxfId="394" priority="50" operator="lessThan">
      <formula>0.9</formula>
    </cfRule>
  </conditionalFormatting>
  <conditionalFormatting sqref="H53">
    <cfRule type="cellIs" dxfId="393" priority="49" operator="lessThan">
      <formula>0.9</formula>
    </cfRule>
  </conditionalFormatting>
  <conditionalFormatting sqref="G53:H53">
    <cfRule type="cellIs" dxfId="392" priority="46" operator="greaterThanOrEqual">
      <formula>0.9</formula>
    </cfRule>
  </conditionalFormatting>
  <conditionalFormatting sqref="C26">
    <cfRule type="cellIs" dxfId="391" priority="42" operator="greaterThan">
      <formula>$J$7</formula>
    </cfRule>
  </conditionalFormatting>
  <conditionalFormatting sqref="C37">
    <cfRule type="cellIs" dxfId="390" priority="41" operator="lessThan">
      <formula>$J$7</formula>
    </cfRule>
  </conditionalFormatting>
  <conditionalFormatting sqref="I20:J20">
    <cfRule type="cellIs" dxfId="389" priority="23" operator="lessThan">
      <formula>0.9</formula>
    </cfRule>
    <cfRule type="cellIs" dxfId="388" priority="24" operator="greaterThan">
      <formula>1.1</formula>
    </cfRule>
    <cfRule type="cellIs" dxfId="387" priority="33" operator="between">
      <formula>0.9</formula>
      <formula>1.1</formula>
    </cfRule>
  </conditionalFormatting>
  <conditionalFormatting sqref="H64">
    <cfRule type="cellIs" dxfId="386" priority="22" operator="lessThan">
      <formula>1</formula>
    </cfRule>
  </conditionalFormatting>
  <conditionalFormatting sqref="J28:J33">
    <cfRule type="cellIs" dxfId="385" priority="20" operator="greaterThan">
      <formula>1</formula>
    </cfRule>
  </conditionalFormatting>
  <conditionalFormatting sqref="B28:D33 B39:D44 F28:J33">
    <cfRule type="expression" dxfId="384" priority="45">
      <formula>$I$24="Yes"</formula>
    </cfRule>
  </conditionalFormatting>
  <conditionalFormatting sqref="B34:D34 F34:J34 B45:D45 I45:J45">
    <cfRule type="expression" dxfId="383" priority="44">
      <formula>$I$24="No"</formula>
    </cfRule>
  </conditionalFormatting>
  <conditionalFormatting sqref="I51">
    <cfRule type="expression" dxfId="382" priority="43">
      <formula>$I$51&lt;0</formula>
    </cfRule>
  </conditionalFormatting>
  <conditionalFormatting sqref="E60">
    <cfRule type="cellIs" dxfId="381" priority="40" operator="lessThan">
      <formula>$F$60</formula>
    </cfRule>
  </conditionalFormatting>
  <conditionalFormatting sqref="F60">
    <cfRule type="cellIs" dxfId="380" priority="39" operator="greaterThan">
      <formula>$E$60</formula>
    </cfRule>
  </conditionalFormatting>
  <conditionalFormatting sqref="E64">
    <cfRule type="cellIs" dxfId="379" priority="38" operator="lessThan">
      <formula>$F$64</formula>
    </cfRule>
  </conditionalFormatting>
  <conditionalFormatting sqref="J24">
    <cfRule type="expression" dxfId="378" priority="37">
      <formula>$I$24="Yes"</formula>
    </cfRule>
  </conditionalFormatting>
  <conditionalFormatting sqref="F39:J44">
    <cfRule type="expression" dxfId="377" priority="36">
      <formula>$I$24="Yes"</formula>
    </cfRule>
  </conditionalFormatting>
  <conditionalFormatting sqref="F45">
    <cfRule type="expression" dxfId="376" priority="35">
      <formula>$I$24="No"</formula>
    </cfRule>
  </conditionalFormatting>
  <conditionalFormatting sqref="G45:H45">
    <cfRule type="expression" dxfId="375" priority="34">
      <formula>$I$24="No"</formula>
    </cfRule>
  </conditionalFormatting>
  <conditionalFormatting sqref="I56">
    <cfRule type="expression" dxfId="374" priority="29">
      <formula>$I$53&gt;=100%</formula>
    </cfRule>
    <cfRule type="expression" dxfId="373" priority="30">
      <formula>$I$53&lt;100%</formula>
    </cfRule>
  </conditionalFormatting>
  <conditionalFormatting sqref="G56">
    <cfRule type="expression" dxfId="372" priority="28">
      <formula>$G$53&gt;=90%</formula>
    </cfRule>
    <cfRule type="expression" dxfId="371" priority="32">
      <formula>$G$53&lt;90%</formula>
    </cfRule>
  </conditionalFormatting>
  <conditionalFormatting sqref="H56">
    <cfRule type="expression" dxfId="370" priority="27">
      <formula>$H$53&gt;=90%</formula>
    </cfRule>
    <cfRule type="expression" dxfId="369" priority="31">
      <formula>$H$53&lt;90%</formula>
    </cfRule>
  </conditionalFormatting>
  <conditionalFormatting sqref="G22:J24 A26:J35 A37:J46 A48:J49 B55:J55 I18:J20 C16:C17 B58:G60 A53:J53 A50:F52 I50:J52 B56:I56 E16:J17">
    <cfRule type="expression" dxfId="368" priority="15">
      <formula>$G$13="Furnace Only"</formula>
    </cfRule>
  </conditionalFormatting>
  <conditionalFormatting sqref="G32:G33">
    <cfRule type="expression" dxfId="367" priority="18">
      <formula>$G$28=""</formula>
    </cfRule>
    <cfRule type="cellIs" dxfId="366" priority="21" operator="greaterThan">
      <formula>$G$28</formula>
    </cfRule>
  </conditionalFormatting>
  <conditionalFormatting sqref="G43:G44">
    <cfRule type="expression" dxfId="365" priority="16">
      <formula>$G$43=""</formula>
    </cfRule>
    <cfRule type="cellIs" dxfId="364" priority="19" operator="greaterThan">
      <formula>$G$39</formula>
    </cfRule>
  </conditionalFormatting>
  <conditionalFormatting sqref="J28:J33 J39:J44">
    <cfRule type="expression" dxfId="363" priority="14">
      <formula>$J$28="N/A"</formula>
    </cfRule>
  </conditionalFormatting>
  <conditionalFormatting sqref="G32:G33 G43:G44">
    <cfRule type="expression" dxfId="362" priority="13">
      <formula>$I$24="Yes"</formula>
    </cfRule>
  </conditionalFormatting>
  <conditionalFormatting sqref="F32:F33">
    <cfRule type="cellIs" dxfId="361" priority="12" operator="greaterThan">
      <formula>$F$30</formula>
    </cfRule>
  </conditionalFormatting>
  <conditionalFormatting sqref="C15:J15 I17:J17 B62:I64 B61:J61 B58:G60">
    <cfRule type="expression" dxfId="360" priority="11">
      <formula>$G$13="A/C Only"</formula>
    </cfRule>
  </conditionalFormatting>
  <conditionalFormatting sqref="C15:J15 B62:I64">
    <cfRule type="expression" dxfId="359" priority="10">
      <formula>$G$13="Heat Pump"</formula>
    </cfRule>
  </conditionalFormatting>
  <conditionalFormatting sqref="I17:J17 B58:G60">
    <cfRule type="expression" dxfId="358" priority="9">
      <formula>$G$13="Furnace + A/C"</formula>
    </cfRule>
  </conditionalFormatting>
  <conditionalFormatting sqref="J62:J64">
    <cfRule type="expression" dxfId="357" priority="8">
      <formula>$G$13="A/C Only"</formula>
    </cfRule>
  </conditionalFormatting>
  <conditionalFormatting sqref="J62:J64">
    <cfRule type="expression" dxfId="356" priority="7">
      <formula>$G$13="Heat Pump"</formula>
    </cfRule>
  </conditionalFormatting>
  <conditionalFormatting sqref="L62:L64">
    <cfRule type="expression" dxfId="355" priority="6">
      <formula>$G$13="A/C Only"</formula>
    </cfRule>
  </conditionalFormatting>
  <conditionalFormatting sqref="L62:L64">
    <cfRule type="expression" dxfId="354" priority="5">
      <formula>$G$13="Heat Pump"</formula>
    </cfRule>
  </conditionalFormatting>
  <conditionalFormatting sqref="H51">
    <cfRule type="expression" dxfId="353" priority="4">
      <formula>$I$51&lt;0</formula>
    </cfRule>
  </conditionalFormatting>
  <conditionalFormatting sqref="G50:H52">
    <cfRule type="expression" dxfId="352" priority="3">
      <formula>$G$13="Furnace Only"</formula>
    </cfRule>
  </conditionalFormatting>
  <conditionalFormatting sqref="J56">
    <cfRule type="expression" dxfId="351" priority="2">
      <formula>$G$13="Furnace Only"</formula>
    </cfRule>
  </conditionalFormatting>
  <conditionalFormatting sqref="H58:J60">
    <cfRule type="expression" dxfId="35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 xr:uid="{00000000-0002-0000-0600-000000000000}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600-000001000000}">
      <formula1>C24&lt;=F64</formula1>
    </dataValidation>
    <dataValidation type="custom" allowBlank="1" showInputMessage="1" showErrorMessage="1" errorTitle="INCORRECT # ENTERED" error="The furnace's input capacity should be larger than the output capacity." sqref="E64" xr:uid="{00000000-0002-0000-0600-000002000000}">
      <formula1>E64&gt;F64</formula1>
    </dataValidation>
    <dataValidation type="custom" allowBlank="1" showInputMessage="1" showErrorMessage="1" errorTitle="INCORRECT # ENTERED" error="The heat pump capacity @ 47 should be larger than the capacity @ 17." sqref="E60" xr:uid="{00000000-0002-0000-0600-000003000000}">
      <formula1>E60&gt;F60</formula1>
    </dataValidation>
    <dataValidation type="custom" allowBlank="1" showInputMessage="1" showErrorMessage="1" errorTitle="INCORRECT # ENTERED" error="The sensible capacity should be less than the total capacity." sqref="H43" xr:uid="{00000000-0002-0000-0600-000004000000}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600-000005000000}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600-000006000000}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600-000007000000}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600-000008000000}">
      <formula1>H45&lt;G45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600-000009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600-00000A000000}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600-00000B000000}">
      <formula1>70</formula1>
      <formula2>80</formula2>
    </dataValidation>
    <dataValidation type="custom" allowBlank="1" showInputMessage="1" showErrorMessage="1" errorTitle="INVALID # ENTERED" error="This # should be lessr-than or equal-to the outdoor design temperature (Cell J-7)." sqref="C26" xr:uid="{00000000-0002-0000-0600-00000C000000}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600-00000D000000}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 x14ac:dyDescent="0.2"/>
    <row r="2" spans="2:10" ht="15" customHeight="1" x14ac:dyDescent="0.2">
      <c r="B2" s="149" t="s">
        <v>91</v>
      </c>
      <c r="C2" s="95"/>
      <c r="F2" s="81"/>
      <c r="G2" s="81"/>
      <c r="H2" s="81"/>
    </row>
    <row r="3" spans="2:10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0" ht="15" customHeight="1" x14ac:dyDescent="0.2">
      <c r="B4" s="148" t="e">
        <f>#REF!</f>
        <v>#REF!</v>
      </c>
      <c r="C4" s="94"/>
      <c r="F4" s="82"/>
      <c r="G4" s="82"/>
      <c r="H4" s="82"/>
    </row>
    <row r="5" spans="2:10" ht="19.5" customHeight="1" x14ac:dyDescent="0.2">
      <c r="I5" s="66"/>
      <c r="J5" s="66"/>
    </row>
    <row r="6" spans="2:10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</row>
    <row r="7" spans="2:10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</row>
    <row r="8" spans="2:10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</row>
    <row r="9" spans="2:10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</row>
    <row r="10" spans="2:10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</row>
    <row r="11" spans="2:10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</row>
    <row r="12" spans="2:10" ht="7.5" customHeight="1" thickBot="1" x14ac:dyDescent="0.25">
      <c r="G12" s="79"/>
      <c r="H12" s="79"/>
      <c r="I12" s="79"/>
      <c r="J12" s="45"/>
    </row>
    <row r="13" spans="2:10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0" ht="8.25" customHeight="1" x14ac:dyDescent="0.2">
      <c r="B14" s="105"/>
      <c r="C14" s="104"/>
      <c r="D14" s="104"/>
      <c r="E14" s="103"/>
      <c r="F14" s="105"/>
      <c r="G14" s="104"/>
      <c r="H14" s="104"/>
    </row>
    <row r="15" spans="2:10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/>
    </row>
    <row r="16" spans="2:10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>
        <f>Data!P16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s">
        <v>72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2"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D37:D38"/>
    <mergeCell ref="B31:D31"/>
    <mergeCell ref="B32:D32"/>
    <mergeCell ref="B33:D33"/>
    <mergeCell ref="B34:D34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C13:E13"/>
    <mergeCell ref="G13:J13"/>
    <mergeCell ref="I18:J18"/>
    <mergeCell ref="F15:H15"/>
    <mergeCell ref="F16:H16"/>
  </mergeCells>
  <conditionalFormatting sqref="J39:J44">
    <cfRule type="cellIs" dxfId="349" priority="17" operator="greaterThan">
      <formula>1</formula>
    </cfRule>
  </conditionalFormatting>
  <conditionalFormatting sqref="I53">
    <cfRule type="cellIs" dxfId="348" priority="47" operator="greaterThanOrEqual">
      <formula>1</formula>
    </cfRule>
    <cfRule type="cellIs" dxfId="347" priority="48" operator="lessThan">
      <formula>1</formula>
    </cfRule>
  </conditionalFormatting>
  <conditionalFormatting sqref="G53">
    <cfRule type="cellIs" dxfId="346" priority="25" operator="greaterThan">
      <formula>1.25</formula>
    </cfRule>
    <cfRule type="cellIs" dxfId="345" priority="26" operator="greaterThan">
      <formula>1.15</formula>
    </cfRule>
    <cfRule type="cellIs" dxfId="344" priority="50" operator="lessThan">
      <formula>0.9</formula>
    </cfRule>
  </conditionalFormatting>
  <conditionalFormatting sqref="H53">
    <cfRule type="cellIs" dxfId="343" priority="49" operator="lessThan">
      <formula>0.9</formula>
    </cfRule>
  </conditionalFormatting>
  <conditionalFormatting sqref="G53:H53">
    <cfRule type="cellIs" dxfId="342" priority="46" operator="greaterThanOrEqual">
      <formula>0.9</formula>
    </cfRule>
  </conditionalFormatting>
  <conditionalFormatting sqref="B28:D33 B39:D44 F28:J33">
    <cfRule type="expression" dxfId="341" priority="45">
      <formula>$I$24="Yes"</formula>
    </cfRule>
  </conditionalFormatting>
  <conditionalFormatting sqref="B34:D34 F34:J34 B45:D45 I45:J45">
    <cfRule type="expression" dxfId="340" priority="44">
      <formula>$I$24="No"</formula>
    </cfRule>
  </conditionalFormatting>
  <conditionalFormatting sqref="I51">
    <cfRule type="expression" dxfId="339" priority="43">
      <formula>$I$51&lt;0</formula>
    </cfRule>
  </conditionalFormatting>
  <conditionalFormatting sqref="C26">
    <cfRule type="cellIs" dxfId="338" priority="42" operator="greaterThan">
      <formula>$J$7</formula>
    </cfRule>
  </conditionalFormatting>
  <conditionalFormatting sqref="C37">
    <cfRule type="cellIs" dxfId="337" priority="41" operator="lessThan">
      <formula>$J$7</formula>
    </cfRule>
  </conditionalFormatting>
  <conditionalFormatting sqref="E60">
    <cfRule type="cellIs" dxfId="336" priority="40" operator="lessThan">
      <formula>$F$60</formula>
    </cfRule>
  </conditionalFormatting>
  <conditionalFormatting sqref="F60">
    <cfRule type="cellIs" dxfId="335" priority="39" operator="greaterThan">
      <formula>$E$60</formula>
    </cfRule>
  </conditionalFormatting>
  <conditionalFormatting sqref="E64">
    <cfRule type="cellIs" dxfId="334" priority="38" operator="lessThan">
      <formula>$F$64</formula>
    </cfRule>
  </conditionalFormatting>
  <conditionalFormatting sqref="J24">
    <cfRule type="expression" dxfId="333" priority="37">
      <formula>$I$24="Yes"</formula>
    </cfRule>
  </conditionalFormatting>
  <conditionalFormatting sqref="F39:J44">
    <cfRule type="expression" dxfId="332" priority="36">
      <formula>$I$24="Yes"</formula>
    </cfRule>
  </conditionalFormatting>
  <conditionalFormatting sqref="F45">
    <cfRule type="expression" dxfId="331" priority="35">
      <formula>$I$24="No"</formula>
    </cfRule>
  </conditionalFormatting>
  <conditionalFormatting sqref="G45:H45">
    <cfRule type="expression" dxfId="330" priority="34">
      <formula>$I$24="No"</formula>
    </cfRule>
  </conditionalFormatting>
  <conditionalFormatting sqref="I20:J20">
    <cfRule type="cellIs" dxfId="329" priority="23" operator="lessThan">
      <formula>0.9</formula>
    </cfRule>
    <cfRule type="cellIs" dxfId="328" priority="24" operator="greaterThan">
      <formula>1.1</formula>
    </cfRule>
    <cfRule type="cellIs" dxfId="327" priority="33" operator="between">
      <formula>0.9</formula>
      <formula>1.1</formula>
    </cfRule>
  </conditionalFormatting>
  <conditionalFormatting sqref="I56">
    <cfRule type="expression" dxfId="326" priority="29">
      <formula>$I$53&gt;=100%</formula>
    </cfRule>
    <cfRule type="expression" dxfId="325" priority="30">
      <formula>$I$53&lt;100%</formula>
    </cfRule>
  </conditionalFormatting>
  <conditionalFormatting sqref="G56">
    <cfRule type="expression" dxfId="324" priority="28">
      <formula>$G$53&gt;=90%</formula>
    </cfRule>
    <cfRule type="expression" dxfId="323" priority="32">
      <formula>$G$53&lt;90%</formula>
    </cfRule>
  </conditionalFormatting>
  <conditionalFormatting sqref="H56">
    <cfRule type="expression" dxfId="322" priority="27">
      <formula>$H$53&gt;=90%</formula>
    </cfRule>
    <cfRule type="expression" dxfId="321" priority="31">
      <formula>$H$53&lt;90%</formula>
    </cfRule>
  </conditionalFormatting>
  <conditionalFormatting sqref="H64">
    <cfRule type="cellIs" dxfId="3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319" priority="15">
      <formula>$G$13="Furnace Only"</formula>
    </cfRule>
  </conditionalFormatting>
  <conditionalFormatting sqref="J28:J33">
    <cfRule type="cellIs" dxfId="318" priority="20" operator="greaterThan">
      <formula>1</formula>
    </cfRule>
  </conditionalFormatting>
  <conditionalFormatting sqref="G32:G33">
    <cfRule type="expression" dxfId="317" priority="18">
      <formula>$G$28=""</formula>
    </cfRule>
    <cfRule type="cellIs" dxfId="316" priority="21" operator="greaterThan">
      <formula>$G$28</formula>
    </cfRule>
  </conditionalFormatting>
  <conditionalFormatting sqref="G43:G44">
    <cfRule type="expression" dxfId="315" priority="16">
      <formula>$G$43=""</formula>
    </cfRule>
    <cfRule type="cellIs" dxfId="314" priority="19" operator="greaterThan">
      <formula>$G$39</formula>
    </cfRule>
  </conditionalFormatting>
  <conditionalFormatting sqref="J28:J33 J39:J44">
    <cfRule type="expression" dxfId="313" priority="14">
      <formula>$J$28="N/A"</formula>
    </cfRule>
  </conditionalFormatting>
  <conditionalFormatting sqref="G32:G33 G43:G44">
    <cfRule type="expression" dxfId="312" priority="13">
      <formula>$I$24="Yes"</formula>
    </cfRule>
  </conditionalFormatting>
  <conditionalFormatting sqref="F32:F33">
    <cfRule type="cellIs" dxfId="311" priority="12" operator="greaterThan">
      <formula>$F$30</formula>
    </cfRule>
  </conditionalFormatting>
  <conditionalFormatting sqref="C15:J15 I17:J17 B62:I64 B61:J61 B58:G60">
    <cfRule type="expression" dxfId="310" priority="11">
      <formula>$G$13="A/C Only"</formula>
    </cfRule>
  </conditionalFormatting>
  <conditionalFormatting sqref="C15:J15 B62:I64">
    <cfRule type="expression" dxfId="309" priority="10">
      <formula>$G$13="Heat Pump"</formula>
    </cfRule>
  </conditionalFormatting>
  <conditionalFormatting sqref="I17:J17 B58:G60">
    <cfRule type="expression" dxfId="308" priority="9">
      <formula>$G$13="Furnace + A/C"</formula>
    </cfRule>
  </conditionalFormatting>
  <conditionalFormatting sqref="J62:J64">
    <cfRule type="expression" dxfId="307" priority="8">
      <formula>$G$13="A/C Only"</formula>
    </cfRule>
  </conditionalFormatting>
  <conditionalFormatting sqref="J62:J64">
    <cfRule type="expression" dxfId="306" priority="7">
      <formula>$G$13="Heat Pump"</formula>
    </cfRule>
  </conditionalFormatting>
  <conditionalFormatting sqref="L62:L64">
    <cfRule type="expression" dxfId="305" priority="6">
      <formula>$G$13="A/C Only"</formula>
    </cfRule>
  </conditionalFormatting>
  <conditionalFormatting sqref="L62:L64">
    <cfRule type="expression" dxfId="304" priority="5">
      <formula>$G$13="Heat Pump"</formula>
    </cfRule>
  </conditionalFormatting>
  <conditionalFormatting sqref="H51">
    <cfRule type="expression" dxfId="303" priority="4">
      <formula>$I$51&lt;0</formula>
    </cfRule>
  </conditionalFormatting>
  <conditionalFormatting sqref="G50:H52">
    <cfRule type="expression" dxfId="302" priority="3">
      <formula>$G$13="Furnace Only"</formula>
    </cfRule>
  </conditionalFormatting>
  <conditionalFormatting sqref="J56">
    <cfRule type="expression" dxfId="301" priority="2">
      <formula>$G$13="Furnace Only"</formula>
    </cfRule>
  </conditionalFormatting>
  <conditionalFormatting sqref="H58:J60">
    <cfRule type="expression" dxfId="300" priority="1">
      <formula>$G$13="A/C Only"</formula>
    </cfRule>
  </conditionalFormatting>
  <dataValidations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700-000000000000}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700-000001000000}">
      <formula1>H34&lt;G34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700-000002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700-000003000000}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700-000004000000}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700-000005000000}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700-000006000000}">
      <formula1>F32&lt;F30</formula1>
    </dataValidation>
    <dataValidation type="custom" allowBlank="1" showInputMessage="1" showErrorMessage="1" errorTitle="INCORRECT # ENTERED" error="The sensible capacity should be less than the total capacity." sqref="H43" xr:uid="{00000000-0002-0000-0700-000007000000}">
      <formula1>H43&lt;=G43</formula1>
    </dataValidation>
    <dataValidation type="custom" allowBlank="1" showInputMessage="1" showErrorMessage="1" errorTitle="INCORRECT # ENTERED" error="The heat pump capacity @ 47 should be larger than the capacity @ 17." sqref="E60" xr:uid="{00000000-0002-0000-0700-000008000000}">
      <formula1>E60&gt;F60</formula1>
    </dataValidation>
    <dataValidation type="custom" allowBlank="1" showInputMessage="1" showErrorMessage="1" errorTitle="INCORRECT # ENTERED" error="The furnace's input capacity should be larger than the output capacity." sqref="E64" xr:uid="{00000000-0002-0000-0700-000009000000}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700-00000A000000}">
      <formula1>C24&lt;=F64</formula1>
    </dataValidation>
    <dataValidation type="custom" allowBlank="1" showInputMessage="1" showErrorMessage="1" errorTitle="INCORRECT # ENTERED" error="The sensible capacity should be less than the total capacity." sqref="H39 E24:F24" xr:uid="{00000000-0002-0000-0700-00000B000000}">
      <formula1>E24&lt;D24</formula1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700-00000C000000}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 xr:uid="{00000000-0002-0000-0700-00000D000000}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 x14ac:dyDescent="0.2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 x14ac:dyDescent="0.2"/>
    <row r="2" spans="2:10" ht="15" customHeight="1" x14ac:dyDescent="0.2">
      <c r="B2" s="149" t="s">
        <v>91</v>
      </c>
      <c r="C2" s="95"/>
      <c r="F2" s="81"/>
      <c r="G2" s="81"/>
      <c r="H2" s="81"/>
    </row>
    <row r="3" spans="2:10" ht="15" customHeight="1" x14ac:dyDescent="0.2">
      <c r="B3" s="148" t="s">
        <v>90</v>
      </c>
      <c r="C3" s="94" t="e">
        <f>#REF!</f>
        <v>#REF!</v>
      </c>
      <c r="F3" s="81"/>
      <c r="G3" s="81"/>
      <c r="H3" s="309" t="s">
        <v>71</v>
      </c>
      <c r="I3" s="309"/>
    </row>
    <row r="4" spans="2:10" ht="15" customHeight="1" x14ac:dyDescent="0.2">
      <c r="B4" s="148" t="e">
        <f>#REF!</f>
        <v>#REF!</v>
      </c>
      <c r="C4" s="94"/>
      <c r="F4" s="82"/>
      <c r="G4" s="82"/>
      <c r="H4" s="82"/>
    </row>
    <row r="5" spans="2:10" ht="19.5" customHeight="1" x14ac:dyDescent="0.2">
      <c r="I5" s="66"/>
      <c r="J5" s="66"/>
    </row>
    <row r="6" spans="2:10" ht="15" customHeight="1" x14ac:dyDescent="0.2">
      <c r="B6" s="310" t="s">
        <v>25</v>
      </c>
      <c r="C6" s="311"/>
      <c r="D6" s="311"/>
      <c r="E6" s="312"/>
      <c r="G6" s="313" t="s">
        <v>33</v>
      </c>
      <c r="H6" s="314"/>
      <c r="I6" s="314"/>
      <c r="J6" s="315"/>
    </row>
    <row r="7" spans="2:10" ht="15" customHeight="1" x14ac:dyDescent="0.2">
      <c r="B7" s="100" t="s">
        <v>31</v>
      </c>
      <c r="C7" s="316" t="e">
        <f>#REF!</f>
        <v>#REF!</v>
      </c>
      <c r="D7" s="317"/>
      <c r="E7" s="318"/>
      <c r="G7" s="319" t="s">
        <v>27</v>
      </c>
      <c r="H7" s="320"/>
      <c r="I7" s="320"/>
      <c r="J7" s="101" t="e">
        <f>#REF!</f>
        <v>#REF!</v>
      </c>
    </row>
    <row r="8" spans="2:10" ht="15" customHeight="1" x14ac:dyDescent="0.2">
      <c r="B8" s="80" t="s">
        <v>68</v>
      </c>
      <c r="C8" s="337" t="e">
        <f>#REF!</f>
        <v>#REF!</v>
      </c>
      <c r="D8" s="338"/>
      <c r="E8" s="339"/>
      <c r="G8" s="342" t="s">
        <v>28</v>
      </c>
      <c r="H8" s="343"/>
      <c r="I8" s="343"/>
      <c r="J8" s="96" t="e">
        <f>#REF!</f>
        <v>#REF!</v>
      </c>
    </row>
    <row r="9" spans="2:10" ht="15" customHeight="1" x14ac:dyDescent="0.2">
      <c r="B9" s="10" t="s">
        <v>32</v>
      </c>
      <c r="C9" s="337" t="e">
        <f>#REF!</f>
        <v>#REF!</v>
      </c>
      <c r="D9" s="338"/>
      <c r="E9" s="339"/>
      <c r="G9" s="342" t="s">
        <v>29</v>
      </c>
      <c r="H9" s="343"/>
      <c r="I9" s="343"/>
      <c r="J9" s="96" t="e">
        <f>#REF!</f>
        <v>#REF!</v>
      </c>
    </row>
    <row r="10" spans="2:10" ht="15" customHeight="1" x14ac:dyDescent="0.2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42" t="s">
        <v>26</v>
      </c>
      <c r="H10" s="343"/>
      <c r="I10" s="343"/>
      <c r="J10" s="96" t="e">
        <f>#REF!</f>
        <v>#REF!</v>
      </c>
    </row>
    <row r="11" spans="2:10" ht="15" customHeight="1" x14ac:dyDescent="0.2">
      <c r="B11" s="150" t="s">
        <v>92</v>
      </c>
      <c r="C11" s="102" t="e">
        <f>#REF!</f>
        <v>#REF!</v>
      </c>
      <c r="D11" s="155"/>
      <c r="E11" s="156"/>
      <c r="G11" s="323" t="s">
        <v>89</v>
      </c>
      <c r="H11" s="324"/>
      <c r="I11" s="324"/>
      <c r="J11" s="123" t="e">
        <f>'Form S-1a'!#REF!</f>
        <v>#REF!</v>
      </c>
    </row>
    <row r="12" spans="2:10" ht="7.5" customHeight="1" thickBot="1" x14ac:dyDescent="0.25">
      <c r="G12" s="79"/>
      <c r="H12" s="79"/>
      <c r="I12" s="79"/>
      <c r="J12" s="45"/>
    </row>
    <row r="13" spans="2:10" ht="15.75" customHeight="1" thickBot="1" x14ac:dyDescent="0.25">
      <c r="B13" s="114" t="s">
        <v>48</v>
      </c>
      <c r="C13" s="325" t="e">
        <f>IF(#REF!="","",#REF!)</f>
        <v>#REF!</v>
      </c>
      <c r="D13" s="326"/>
      <c r="E13" s="327"/>
      <c r="F13" s="115" t="s">
        <v>75</v>
      </c>
      <c r="G13" s="325" t="e">
        <f>IF(C13="","",VLOOKUP(C13,#REF!,5,FALSE))</f>
        <v>#REF!</v>
      </c>
      <c r="H13" s="326"/>
      <c r="I13" s="326"/>
      <c r="J13" s="328"/>
    </row>
    <row r="14" spans="2:10" ht="8.25" customHeight="1" x14ac:dyDescent="0.2">
      <c r="B14" s="105"/>
      <c r="C14" s="104"/>
      <c r="D14" s="104"/>
      <c r="E14" s="103"/>
      <c r="F14" s="105"/>
      <c r="G14" s="104"/>
      <c r="H14" s="104"/>
    </row>
    <row r="15" spans="2:10" ht="13.5" customHeight="1" x14ac:dyDescent="0.2">
      <c r="B15" s="348" t="s">
        <v>46</v>
      </c>
      <c r="C15" s="11" t="s">
        <v>34</v>
      </c>
      <c r="D15" s="83"/>
      <c r="E15" s="12" t="s">
        <v>35</v>
      </c>
      <c r="F15" s="335"/>
      <c r="G15" s="335"/>
      <c r="H15" s="336"/>
      <c r="I15" s="13" t="s">
        <v>20</v>
      </c>
      <c r="J15" s="84"/>
    </row>
    <row r="16" spans="2:10" ht="13.5" customHeight="1" x14ac:dyDescent="0.2">
      <c r="B16" s="349"/>
      <c r="C16" s="14" t="s">
        <v>34</v>
      </c>
      <c r="D16" s="158"/>
      <c r="E16" s="15" t="s">
        <v>36</v>
      </c>
      <c r="F16" s="340"/>
      <c r="G16" s="340"/>
      <c r="H16" s="341"/>
      <c r="I16" s="16" t="s">
        <v>38</v>
      </c>
      <c r="J16" s="85"/>
    </row>
    <row r="17" spans="1:17" ht="13.5" customHeight="1" x14ac:dyDescent="0.2">
      <c r="B17" s="349"/>
      <c r="C17" s="14" t="s">
        <v>34</v>
      </c>
      <c r="D17" s="157"/>
      <c r="E17" s="15" t="s">
        <v>37</v>
      </c>
      <c r="F17" s="340"/>
      <c r="G17" s="340"/>
      <c r="H17" s="341"/>
      <c r="I17" s="17" t="s">
        <v>39</v>
      </c>
      <c r="J17" s="86"/>
    </row>
    <row r="18" spans="1:17" ht="13.5" customHeight="1" x14ac:dyDescent="0.2">
      <c r="B18" s="350"/>
      <c r="C18" s="97" t="s">
        <v>34</v>
      </c>
      <c r="D18" s="98"/>
      <c r="E18" s="18" t="s">
        <v>45</v>
      </c>
      <c r="F18" s="351"/>
      <c r="G18" s="351"/>
      <c r="H18" s="351"/>
      <c r="I18" s="333" t="s">
        <v>65</v>
      </c>
      <c r="J18" s="334"/>
      <c r="M18" s="309"/>
      <c r="N18" s="309"/>
      <c r="O18" s="309"/>
      <c r="P18" s="309"/>
      <c r="Q18" s="309"/>
    </row>
    <row r="19" spans="1:17" ht="11.25" customHeight="1" x14ac:dyDescent="0.2">
      <c r="B19" s="352"/>
      <c r="C19" s="352"/>
      <c r="D19" s="106"/>
      <c r="F19" s="22"/>
      <c r="G19" s="137"/>
      <c r="H19" s="138"/>
      <c r="I19" s="23" t="s">
        <v>42</v>
      </c>
      <c r="J19" s="24" t="s">
        <v>12</v>
      </c>
      <c r="N19" s="45"/>
      <c r="O19" s="309"/>
      <c r="P19" s="309"/>
      <c r="Q19" s="309"/>
    </row>
    <row r="20" spans="1:17" ht="11.25" x14ac:dyDescent="0.2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 x14ac:dyDescent="0.25">
      <c r="M21" s="130"/>
      <c r="N21" s="131"/>
      <c r="O21" s="131"/>
      <c r="P21" s="131"/>
      <c r="Q21" s="131"/>
    </row>
    <row r="22" spans="1:17" ht="15" customHeight="1" x14ac:dyDescent="0.2">
      <c r="B22" s="353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56" t="s">
        <v>3</v>
      </c>
      <c r="H22" s="358" t="s">
        <v>60</v>
      </c>
      <c r="I22" s="360" t="s">
        <v>64</v>
      </c>
      <c r="J22" s="403" t="s">
        <v>50</v>
      </c>
      <c r="M22" s="131"/>
      <c r="N22" s="131"/>
      <c r="O22" s="131"/>
      <c r="P22" s="131"/>
      <c r="Q22" s="131"/>
    </row>
    <row r="23" spans="1:17" ht="15" customHeight="1" x14ac:dyDescent="0.2">
      <c r="B23" s="354"/>
      <c r="C23" s="110" t="s">
        <v>40</v>
      </c>
      <c r="D23" s="124" t="s">
        <v>43</v>
      </c>
      <c r="E23" s="124" t="s">
        <v>43</v>
      </c>
      <c r="F23" s="111" t="s">
        <v>43</v>
      </c>
      <c r="G23" s="357"/>
      <c r="H23" s="359"/>
      <c r="I23" s="361"/>
      <c r="J23" s="404"/>
      <c r="M23" s="131"/>
      <c r="N23" s="131"/>
      <c r="O23" s="131"/>
      <c r="P23" s="131"/>
      <c r="Q23" s="131"/>
    </row>
    <row r="24" spans="1:17" ht="15" customHeight="1" thickBot="1" x14ac:dyDescent="0.25">
      <c r="B24" s="355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 x14ac:dyDescent="0.2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 x14ac:dyDescent="0.2">
      <c r="A26" s="383" t="s">
        <v>69</v>
      </c>
      <c r="B26" s="28" t="s">
        <v>59</v>
      </c>
      <c r="C26" s="69" t="e">
        <f>VLOOKUP(J7,Data!F9:G68,2)</f>
        <v>#REF!</v>
      </c>
      <c r="D26" s="344"/>
      <c r="E26" s="344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299" t="s">
        <v>3</v>
      </c>
      <c r="K26" s="400"/>
      <c r="M26" s="131"/>
      <c r="N26" s="131"/>
      <c r="O26" s="131"/>
      <c r="P26" s="131"/>
      <c r="Q26" s="131"/>
    </row>
    <row r="27" spans="1:17" ht="15" customHeight="1" x14ac:dyDescent="0.2">
      <c r="A27" s="384"/>
      <c r="B27" s="28" t="s">
        <v>58</v>
      </c>
      <c r="C27" s="68">
        <f>H24</f>
        <v>80</v>
      </c>
      <c r="D27" s="345"/>
      <c r="E27" s="379"/>
      <c r="F27" s="124" t="s">
        <v>0</v>
      </c>
      <c r="G27" s="124" t="s">
        <v>43</v>
      </c>
      <c r="H27" s="124" t="s">
        <v>43</v>
      </c>
      <c r="I27" s="124" t="s">
        <v>43</v>
      </c>
      <c r="J27" s="300"/>
      <c r="K27" s="364"/>
      <c r="M27" s="131"/>
      <c r="N27" s="131"/>
      <c r="O27" s="131"/>
      <c r="P27" s="131"/>
      <c r="Q27" s="131"/>
    </row>
    <row r="28" spans="1:17" ht="15" customHeight="1" x14ac:dyDescent="0.2">
      <c r="A28" s="384"/>
      <c r="B28" s="386" t="str">
        <f>IF($I$24="Yes", "N/A","Capacity from MFG table")</f>
        <v>Capacity from MFG table</v>
      </c>
      <c r="C28" s="386"/>
      <c r="D28" s="387"/>
      <c r="E28" s="295"/>
      <c r="F28" s="297"/>
      <c r="G28" s="301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 x14ac:dyDescent="0.2">
      <c r="A29" s="384"/>
      <c r="B29" s="329" t="str">
        <f>IF($I$24="Yes", "N/A","Modified for Design DB")</f>
        <v>Modified for Design DB</v>
      </c>
      <c r="C29" s="329"/>
      <c r="D29" s="330"/>
      <c r="E29" s="296"/>
      <c r="F29" s="297"/>
      <c r="G29" s="302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 x14ac:dyDescent="0.2">
      <c r="A30" s="384"/>
      <c r="B30" s="346" t="str">
        <f>IF($I$24="Yes", "N/A","Capacity from MFG table")</f>
        <v>Capacity from MFG table</v>
      </c>
      <c r="C30" s="346"/>
      <c r="D30" s="347"/>
      <c r="E30" s="296"/>
      <c r="F30" s="303">
        <f>IF($I$24="Yes", "N/A",63)</f>
        <v>63</v>
      </c>
      <c r="G30" s="362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 x14ac:dyDescent="0.2">
      <c r="A31" s="384"/>
      <c r="B31" s="329" t="str">
        <f>IF($I$24="Yes", "N/A","Modified for Design DB")</f>
        <v>Modified for Design DB</v>
      </c>
      <c r="C31" s="329"/>
      <c r="D31" s="330"/>
      <c r="E31" s="296"/>
      <c r="F31" s="304"/>
      <c r="G31" s="363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 x14ac:dyDescent="0.2">
      <c r="A32" s="384"/>
      <c r="B32" s="331" t="str">
        <f>IF($I$24="Yes", "N/A","Capacity from MFG table")</f>
        <v>Capacity from MFG table</v>
      </c>
      <c r="C32" s="331"/>
      <c r="D32" s="332"/>
      <c r="E32" s="296"/>
      <c r="F32" s="297"/>
      <c r="G32" s="301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 x14ac:dyDescent="0.2">
      <c r="A33" s="384"/>
      <c r="B33" s="329" t="str">
        <f>IF($I$24="Yes", "N/A","Modified for Design DB")</f>
        <v>Modified for Design DB</v>
      </c>
      <c r="C33" s="329"/>
      <c r="D33" s="330"/>
      <c r="E33" s="296"/>
      <c r="F33" s="298"/>
      <c r="G33" s="305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 x14ac:dyDescent="0.2">
      <c r="A34" s="384"/>
      <c r="B34" s="388" t="str">
        <f>IF($I$24="No", "N/A","Capacity from MFG table @ 75DB/63WB")</f>
        <v>N/A</v>
      </c>
      <c r="C34" s="388"/>
      <c r="D34" s="389"/>
      <c r="E34" s="296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 x14ac:dyDescent="0.2">
      <c r="A35" s="385"/>
      <c r="B35" s="321" t="s">
        <v>57</v>
      </c>
      <c r="C35" s="322"/>
      <c r="D35" s="322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 x14ac:dyDescent="0.2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 x14ac:dyDescent="0.2">
      <c r="A37" s="383" t="s">
        <v>70</v>
      </c>
      <c r="B37" s="28" t="s">
        <v>59</v>
      </c>
      <c r="C37" s="69" t="e">
        <f>IF(C26=J7,C26,C26+10)</f>
        <v>#REF!</v>
      </c>
      <c r="D37" s="344"/>
      <c r="E37" s="344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299" t="s">
        <v>3</v>
      </c>
      <c r="K37" s="400"/>
    </row>
    <row r="38" spans="1:17" ht="15" customHeight="1" x14ac:dyDescent="0.2">
      <c r="A38" s="384"/>
      <c r="B38" s="28" t="s">
        <v>58</v>
      </c>
      <c r="C38" s="68">
        <f>H24</f>
        <v>80</v>
      </c>
      <c r="D38" s="345"/>
      <c r="E38" s="379"/>
      <c r="F38" s="124" t="s">
        <v>0</v>
      </c>
      <c r="G38" s="124" t="s">
        <v>43</v>
      </c>
      <c r="H38" s="124" t="s">
        <v>43</v>
      </c>
      <c r="I38" s="124" t="s">
        <v>43</v>
      </c>
      <c r="J38" s="300"/>
      <c r="K38" s="364"/>
    </row>
    <row r="39" spans="1:17" ht="15" customHeight="1" x14ac:dyDescent="0.2">
      <c r="A39" s="384"/>
      <c r="B39" s="386" t="str">
        <f>IF($I$24="Yes", "N/A","Capacity from MFG table")</f>
        <v>Capacity from MFG table</v>
      </c>
      <c r="C39" s="386"/>
      <c r="D39" s="387"/>
      <c r="E39" s="374">
        <f>E28</f>
        <v>0</v>
      </c>
      <c r="F39" s="411">
        <f>F28</f>
        <v>0</v>
      </c>
      <c r="G39" s="301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 x14ac:dyDescent="0.2">
      <c r="A40" s="384"/>
      <c r="B40" s="329" t="str">
        <f>IF($I$24="Yes", "N/A","Modified for Design DB")</f>
        <v>Modified for Design DB</v>
      </c>
      <c r="C40" s="329"/>
      <c r="D40" s="330"/>
      <c r="E40" s="375"/>
      <c r="F40" s="411"/>
      <c r="G40" s="302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 x14ac:dyDescent="0.2">
      <c r="A41" s="384"/>
      <c r="B41" s="346" t="str">
        <f>IF($I$24="Yes", "N/A","Capacity from MFG table")</f>
        <v>Capacity from MFG table</v>
      </c>
      <c r="C41" s="346"/>
      <c r="D41" s="347"/>
      <c r="E41" s="375"/>
      <c r="F41" s="303">
        <f>IF($I$24="Yes", "N/A",63)</f>
        <v>63</v>
      </c>
      <c r="G41" s="362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 x14ac:dyDescent="0.2">
      <c r="A42" s="384"/>
      <c r="B42" s="329" t="str">
        <f>IF($I$24="Yes", "N/A","Modified for Design DB")</f>
        <v>Modified for Design DB</v>
      </c>
      <c r="C42" s="329"/>
      <c r="D42" s="330"/>
      <c r="E42" s="375"/>
      <c r="F42" s="304"/>
      <c r="G42" s="363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 x14ac:dyDescent="0.2">
      <c r="A43" s="384"/>
      <c r="B43" s="331" t="str">
        <f>IF($I$24="Yes", "N/A","Capacity from MFG table")</f>
        <v>Capacity from MFG table</v>
      </c>
      <c r="C43" s="331"/>
      <c r="D43" s="332"/>
      <c r="E43" s="375"/>
      <c r="F43" s="411">
        <f>F32</f>
        <v>0</v>
      </c>
      <c r="G43" s="301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 x14ac:dyDescent="0.2">
      <c r="A44" s="384"/>
      <c r="B44" s="329" t="str">
        <f>IF($I$24="Yes", "N/A","Modified for Design DB")</f>
        <v>Modified for Design DB</v>
      </c>
      <c r="C44" s="329"/>
      <c r="D44" s="330"/>
      <c r="E44" s="375"/>
      <c r="F44" s="304"/>
      <c r="G44" s="305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 x14ac:dyDescent="0.2">
      <c r="A45" s="384"/>
      <c r="B45" s="376" t="str">
        <f>IF($I$24="No", "N/A","Capacity from MFG table @ 75DB/63WB")</f>
        <v>N/A</v>
      </c>
      <c r="C45" s="376"/>
      <c r="D45" s="377"/>
      <c r="E45" s="375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 x14ac:dyDescent="0.2">
      <c r="A46" s="385"/>
      <c r="B46" s="321" t="s">
        <v>57</v>
      </c>
      <c r="C46" s="322"/>
      <c r="D46" s="322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 x14ac:dyDescent="0.2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 x14ac:dyDescent="0.2">
      <c r="A48" s="380" t="s">
        <v>54</v>
      </c>
      <c r="B48" s="71" t="s">
        <v>51</v>
      </c>
      <c r="C48" s="72" t="e">
        <f>J7</f>
        <v>#REF!</v>
      </c>
      <c r="D48" s="378"/>
      <c r="E48" s="378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401" t="s">
        <v>3</v>
      </c>
    </row>
    <row r="49" spans="1:17" ht="15" customHeight="1" x14ac:dyDescent="0.2">
      <c r="A49" s="381"/>
      <c r="B49" s="50" t="s">
        <v>52</v>
      </c>
      <c r="C49" s="51" t="e">
        <f>J8</f>
        <v>#REF!</v>
      </c>
      <c r="D49" s="345"/>
      <c r="E49" s="379"/>
      <c r="F49" s="124" t="s">
        <v>0</v>
      </c>
      <c r="G49" s="52" t="s">
        <v>43</v>
      </c>
      <c r="H49" s="124" t="s">
        <v>43</v>
      </c>
      <c r="I49" s="124" t="s">
        <v>43</v>
      </c>
      <c r="J49" s="402"/>
    </row>
    <row r="50" spans="1:17" ht="15" customHeight="1" x14ac:dyDescent="0.2">
      <c r="A50" s="381"/>
      <c r="B50" s="346" t="s">
        <v>44</v>
      </c>
      <c r="C50" s="346"/>
      <c r="D50" s="347"/>
      <c r="E50" s="368">
        <f>E39</f>
        <v>0</v>
      </c>
      <c r="F50" s="371">
        <v>63</v>
      </c>
      <c r="G50" s="306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 x14ac:dyDescent="0.2">
      <c r="A51" s="381"/>
      <c r="B51" s="364" t="s">
        <v>23</v>
      </c>
      <c r="C51" s="364"/>
      <c r="D51" s="365"/>
      <c r="E51" s="369"/>
      <c r="F51" s="372"/>
      <c r="G51" s="307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 x14ac:dyDescent="0.2">
      <c r="A52" s="381"/>
      <c r="B52" s="366" t="s">
        <v>53</v>
      </c>
      <c r="C52" s="366"/>
      <c r="D52" s="367"/>
      <c r="E52" s="370"/>
      <c r="F52" s="373"/>
      <c r="G52" s="308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 x14ac:dyDescent="0.2">
      <c r="A53" s="382"/>
      <c r="B53" s="390" t="s">
        <v>24</v>
      </c>
      <c r="C53" s="390"/>
      <c r="D53" s="391"/>
      <c r="E53" s="392"/>
      <c r="F53" s="393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 x14ac:dyDescent="0.25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 x14ac:dyDescent="0.2">
      <c r="B55" s="413" t="s">
        <v>63</v>
      </c>
      <c r="C55" s="414"/>
      <c r="D55" s="414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87</v>
      </c>
      <c r="M55" s="146" t="s">
        <v>88</v>
      </c>
    </row>
    <row r="56" spans="1:17" s="45" customFormat="1" ht="13.5" customHeight="1" thickBot="1" x14ac:dyDescent="0.25">
      <c r="A56" s="58"/>
      <c r="B56" s="415"/>
      <c r="C56" s="416"/>
      <c r="D56" s="416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 x14ac:dyDescent="0.2">
      <c r="C57" s="59"/>
      <c r="M57" s="45"/>
      <c r="N57" s="45"/>
      <c r="P57" s="45"/>
      <c r="Q57" s="45"/>
    </row>
    <row r="58" spans="1:17" ht="15" customHeight="1" x14ac:dyDescent="0.2">
      <c r="B58" s="417" t="s">
        <v>73</v>
      </c>
      <c r="C58" s="418"/>
      <c r="D58" s="419"/>
      <c r="E58" s="60" t="s">
        <v>13</v>
      </c>
      <c r="F58" s="127" t="s">
        <v>13</v>
      </c>
      <c r="G58" s="127" t="s">
        <v>16</v>
      </c>
      <c r="H58" s="396" t="s">
        <v>86</v>
      </c>
      <c r="I58" s="396" t="s">
        <v>84</v>
      </c>
      <c r="J58" s="398" t="s">
        <v>85</v>
      </c>
      <c r="L58" s="412" t="s">
        <v>83</v>
      </c>
    </row>
    <row r="59" spans="1:17" ht="15.75" customHeight="1" x14ac:dyDescent="0.2">
      <c r="B59" s="420"/>
      <c r="C59" s="421"/>
      <c r="D59" s="422"/>
      <c r="E59" s="61" t="s">
        <v>14</v>
      </c>
      <c r="F59" s="62" t="s">
        <v>15</v>
      </c>
      <c r="G59" s="128" t="s">
        <v>17</v>
      </c>
      <c r="H59" s="397"/>
      <c r="I59" s="397"/>
      <c r="J59" s="399"/>
      <c r="L59" s="412"/>
    </row>
    <row r="60" spans="1:17" ht="15" customHeight="1" x14ac:dyDescent="0.2">
      <c r="B60" s="423"/>
      <c r="C60" s="424"/>
      <c r="D60" s="425"/>
      <c r="E60" s="91"/>
      <c r="F60" s="92"/>
      <c r="G60" s="63" t="str">
        <f>IF(E60="","",(30*(((J10-65)*E60)+(65*C24))-((J10-65)*(E60-F60)*47))/((30*C24)-((J10-65)*(E60-F60))))</f>
        <v/>
      </c>
      <c r="H60" s="142" t="str">
        <f>Data!Q21</f>
        <v>Boiler Data, heating only (if applicable)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 x14ac:dyDescent="0.2"/>
    <row r="62" spans="1:17" ht="11.25" customHeight="1" x14ac:dyDescent="0.2">
      <c r="B62" s="417" t="s">
        <v>74</v>
      </c>
      <c r="C62" s="418"/>
      <c r="D62" s="419"/>
      <c r="E62" s="60" t="s">
        <v>19</v>
      </c>
      <c r="F62" s="127" t="s">
        <v>18</v>
      </c>
      <c r="G62" s="426" t="s">
        <v>20</v>
      </c>
      <c r="H62" s="426" t="s">
        <v>66</v>
      </c>
      <c r="I62" s="394" t="s">
        <v>67</v>
      </c>
      <c r="J62" s="406"/>
      <c r="L62" s="408" t="s">
        <v>83</v>
      </c>
    </row>
    <row r="63" spans="1:17" ht="13.5" customHeight="1" x14ac:dyDescent="0.2">
      <c r="B63" s="420"/>
      <c r="C63" s="421"/>
      <c r="D63" s="422"/>
      <c r="E63" s="64" t="s">
        <v>13</v>
      </c>
      <c r="F63" s="128" t="s">
        <v>13</v>
      </c>
      <c r="G63" s="395"/>
      <c r="H63" s="395"/>
      <c r="I63" s="395"/>
      <c r="J63" s="407"/>
      <c r="L63" s="409"/>
    </row>
    <row r="64" spans="1:17" ht="15" customHeight="1" x14ac:dyDescent="0.2">
      <c r="A64" s="65"/>
      <c r="B64" s="423"/>
      <c r="C64" s="424"/>
      <c r="D64" s="425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 x14ac:dyDescent="0.2">
      <c r="A65" s="65"/>
    </row>
    <row r="66" spans="1:10" ht="15" customHeight="1" x14ac:dyDescent="0.2">
      <c r="A66" s="65"/>
      <c r="B66" s="410" t="s">
        <v>72</v>
      </c>
      <c r="C66" s="410"/>
      <c r="D66" s="410"/>
      <c r="E66" s="410"/>
      <c r="F66" s="410"/>
      <c r="G66" s="410"/>
      <c r="H66" s="410"/>
      <c r="I66" s="410"/>
      <c r="J66" s="410"/>
    </row>
    <row r="73" spans="1:10" ht="15" customHeight="1" x14ac:dyDescent="0.2">
      <c r="A73" s="27"/>
    </row>
    <row r="74" spans="1:10" ht="15" customHeight="1" x14ac:dyDescent="0.2">
      <c r="A74" s="27"/>
    </row>
    <row r="75" spans="1:10" ht="15" customHeight="1" x14ac:dyDescent="0.2">
      <c r="A75" s="27"/>
    </row>
    <row r="76" spans="1:10" ht="15" customHeight="1" x14ac:dyDescent="0.2">
      <c r="A76" s="27"/>
    </row>
    <row r="77" spans="1:10" ht="15" customHeight="1" x14ac:dyDescent="0.2">
      <c r="A77" s="27"/>
    </row>
    <row r="78" spans="1:10" ht="15" customHeight="1" x14ac:dyDescent="0.2">
      <c r="A78" s="27"/>
    </row>
    <row r="79" spans="1:10" ht="15" customHeight="1" x14ac:dyDescent="0.2">
      <c r="A79" s="27"/>
    </row>
    <row r="80" spans="1:10" ht="15" customHeight="1" x14ac:dyDescent="0.2">
      <c r="A80" s="27"/>
    </row>
    <row r="81" spans="1:1" ht="15" customHeight="1" x14ac:dyDescent="0.2">
      <c r="A81" s="27"/>
    </row>
    <row r="82" spans="1:1" ht="15" customHeight="1" x14ac:dyDescent="0.2">
      <c r="A82" s="27"/>
    </row>
  </sheetData>
  <sheetProtection selectLockedCells="1"/>
  <mergeCells count="92"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D37:D38"/>
    <mergeCell ref="B31:D31"/>
    <mergeCell ref="B32:D32"/>
    <mergeCell ref="B33:D33"/>
    <mergeCell ref="B34:D34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C13:E13"/>
    <mergeCell ref="G13:J13"/>
    <mergeCell ref="I18:J18"/>
    <mergeCell ref="F15:H15"/>
    <mergeCell ref="F16:H16"/>
  </mergeCells>
  <conditionalFormatting sqref="J39:J44">
    <cfRule type="cellIs" dxfId="299" priority="17" operator="greaterThan">
      <formula>1</formula>
    </cfRule>
  </conditionalFormatting>
  <conditionalFormatting sqref="I53">
    <cfRule type="cellIs" dxfId="298" priority="47" operator="greaterThanOrEqual">
      <formula>1</formula>
    </cfRule>
    <cfRule type="cellIs" dxfId="297" priority="48" operator="lessThan">
      <formula>1</formula>
    </cfRule>
  </conditionalFormatting>
  <conditionalFormatting sqref="G53">
    <cfRule type="cellIs" dxfId="296" priority="25" operator="greaterThan">
      <formula>1.25</formula>
    </cfRule>
    <cfRule type="cellIs" dxfId="295" priority="26" operator="greaterThan">
      <formula>1.15</formula>
    </cfRule>
    <cfRule type="cellIs" dxfId="294" priority="50" operator="lessThan">
      <formula>0.9</formula>
    </cfRule>
  </conditionalFormatting>
  <conditionalFormatting sqref="H53">
    <cfRule type="cellIs" dxfId="293" priority="49" operator="lessThan">
      <formula>0.9</formula>
    </cfRule>
  </conditionalFormatting>
  <conditionalFormatting sqref="G53:H53">
    <cfRule type="cellIs" dxfId="292" priority="46" operator="greaterThanOrEqual">
      <formula>0.9</formula>
    </cfRule>
  </conditionalFormatting>
  <conditionalFormatting sqref="B28:D33 B39:D44 F28:J33">
    <cfRule type="expression" dxfId="291" priority="45">
      <formula>$I$24="Yes"</formula>
    </cfRule>
  </conditionalFormatting>
  <conditionalFormatting sqref="B34:D34 F34:J34 B45:D45 I45:J45">
    <cfRule type="expression" dxfId="290" priority="44">
      <formula>$I$24="No"</formula>
    </cfRule>
  </conditionalFormatting>
  <conditionalFormatting sqref="I51">
    <cfRule type="expression" dxfId="289" priority="43">
      <formula>$I$51&lt;0</formula>
    </cfRule>
  </conditionalFormatting>
  <conditionalFormatting sqref="C26">
    <cfRule type="cellIs" dxfId="288" priority="42" operator="greaterThan">
      <formula>$J$7</formula>
    </cfRule>
  </conditionalFormatting>
  <conditionalFormatting sqref="C37">
    <cfRule type="cellIs" dxfId="287" priority="41" operator="lessThan">
      <formula>$J$7</formula>
    </cfRule>
  </conditionalFormatting>
  <conditionalFormatting sqref="E60">
    <cfRule type="cellIs" dxfId="286" priority="40" operator="lessThan">
      <formula>$F$60</formula>
    </cfRule>
  </conditionalFormatting>
  <conditionalFormatting sqref="F60">
    <cfRule type="cellIs" dxfId="285" priority="39" operator="greaterThan">
      <formula>$E$60</formula>
    </cfRule>
  </conditionalFormatting>
  <conditionalFormatting sqref="E64">
    <cfRule type="cellIs" dxfId="284" priority="38" operator="lessThan">
      <formula>$F$64</formula>
    </cfRule>
  </conditionalFormatting>
  <conditionalFormatting sqref="J24">
    <cfRule type="expression" dxfId="283" priority="37">
      <formula>$I$24="Yes"</formula>
    </cfRule>
  </conditionalFormatting>
  <conditionalFormatting sqref="F39:J44">
    <cfRule type="expression" dxfId="282" priority="36">
      <formula>$I$24="Yes"</formula>
    </cfRule>
  </conditionalFormatting>
  <conditionalFormatting sqref="F45">
    <cfRule type="expression" dxfId="281" priority="35">
      <formula>$I$24="No"</formula>
    </cfRule>
  </conditionalFormatting>
  <conditionalFormatting sqref="G45:H45">
    <cfRule type="expression" dxfId="280" priority="34">
      <formula>$I$24="No"</formula>
    </cfRule>
  </conditionalFormatting>
  <conditionalFormatting sqref="I20:J20">
    <cfRule type="cellIs" dxfId="279" priority="23" operator="lessThan">
      <formula>0.9</formula>
    </cfRule>
    <cfRule type="cellIs" dxfId="278" priority="24" operator="greaterThan">
      <formula>1.1</formula>
    </cfRule>
    <cfRule type="cellIs" dxfId="277" priority="33" operator="between">
      <formula>0.9</formula>
      <formula>1.1</formula>
    </cfRule>
  </conditionalFormatting>
  <conditionalFormatting sqref="I56">
    <cfRule type="expression" dxfId="276" priority="29">
      <formula>$I$53&gt;=100%</formula>
    </cfRule>
    <cfRule type="expression" dxfId="275" priority="30">
      <formula>$I$53&lt;100%</formula>
    </cfRule>
  </conditionalFormatting>
  <conditionalFormatting sqref="G56">
    <cfRule type="expression" dxfId="274" priority="28">
      <formula>$G$53&gt;=90%</formula>
    </cfRule>
    <cfRule type="expression" dxfId="273" priority="32">
      <formula>$G$53&lt;90%</formula>
    </cfRule>
  </conditionalFormatting>
  <conditionalFormatting sqref="H56">
    <cfRule type="expression" dxfId="272" priority="27">
      <formula>$H$53&gt;=90%</formula>
    </cfRule>
    <cfRule type="expression" dxfId="271" priority="31">
      <formula>$H$53&lt;90%</formula>
    </cfRule>
  </conditionalFormatting>
  <conditionalFormatting sqref="H64">
    <cfRule type="cellIs" dxfId="27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269" priority="15">
      <formula>$G$13="Furnace Only"</formula>
    </cfRule>
  </conditionalFormatting>
  <conditionalFormatting sqref="J28:J33">
    <cfRule type="cellIs" dxfId="268" priority="20" operator="greaterThan">
      <formula>1</formula>
    </cfRule>
  </conditionalFormatting>
  <conditionalFormatting sqref="G32:G33">
    <cfRule type="expression" dxfId="267" priority="18">
      <formula>$G$28=""</formula>
    </cfRule>
    <cfRule type="cellIs" dxfId="266" priority="21" operator="greaterThan">
      <formula>$G$28</formula>
    </cfRule>
  </conditionalFormatting>
  <conditionalFormatting sqref="G43:G44">
    <cfRule type="expression" dxfId="265" priority="16">
      <formula>$G$43=""</formula>
    </cfRule>
    <cfRule type="cellIs" dxfId="264" priority="19" operator="greaterThan">
      <formula>$G$39</formula>
    </cfRule>
  </conditionalFormatting>
  <conditionalFormatting sqref="J28:J33 J39:J44">
    <cfRule type="expression" dxfId="263" priority="14">
      <formula>$J$28="N/A"</formula>
    </cfRule>
  </conditionalFormatting>
  <conditionalFormatting sqref="G32:G33 G43:G44">
    <cfRule type="expression" dxfId="262" priority="13">
      <formula>$I$24="Yes"</formula>
    </cfRule>
  </conditionalFormatting>
  <conditionalFormatting sqref="F32:F33">
    <cfRule type="cellIs" dxfId="261" priority="12" operator="greaterThan">
      <formula>$F$30</formula>
    </cfRule>
  </conditionalFormatting>
  <conditionalFormatting sqref="C15:J15 I17:J17 B62:I64 B61:J61 B58:G60">
    <cfRule type="expression" dxfId="260" priority="11">
      <formula>$G$13="A/C Only"</formula>
    </cfRule>
  </conditionalFormatting>
  <conditionalFormatting sqref="C15:J15 B62:I64">
    <cfRule type="expression" dxfId="259" priority="10">
      <formula>$G$13="Heat Pump"</formula>
    </cfRule>
  </conditionalFormatting>
  <conditionalFormatting sqref="I17:J17 B58:G60">
    <cfRule type="expression" dxfId="258" priority="9">
      <formula>$G$13="Furnace + A/C"</formula>
    </cfRule>
  </conditionalFormatting>
  <conditionalFormatting sqref="J62:J64">
    <cfRule type="expression" dxfId="257" priority="8">
      <formula>$G$13="A/C Only"</formula>
    </cfRule>
  </conditionalFormatting>
  <conditionalFormatting sqref="J62:J64">
    <cfRule type="expression" dxfId="256" priority="7">
      <formula>$G$13="Heat Pump"</formula>
    </cfRule>
  </conditionalFormatting>
  <conditionalFormatting sqref="L62:L64">
    <cfRule type="expression" dxfId="255" priority="6">
      <formula>$G$13="A/C Only"</formula>
    </cfRule>
  </conditionalFormatting>
  <conditionalFormatting sqref="L62:L64">
    <cfRule type="expression" dxfId="254" priority="5">
      <formula>$G$13="Heat Pump"</formula>
    </cfRule>
  </conditionalFormatting>
  <conditionalFormatting sqref="H51">
    <cfRule type="expression" dxfId="253" priority="4">
      <formula>$I$51&lt;0</formula>
    </cfRule>
  </conditionalFormatting>
  <conditionalFormatting sqref="G50:H52">
    <cfRule type="expression" dxfId="252" priority="3">
      <formula>$G$13="Furnace Only"</formula>
    </cfRule>
  </conditionalFormatting>
  <conditionalFormatting sqref="J56">
    <cfRule type="expression" dxfId="251" priority="2">
      <formula>$G$13="Furnace Only"</formula>
    </cfRule>
  </conditionalFormatting>
  <conditionalFormatting sqref="H58:J60">
    <cfRule type="expression" dxfId="250" priority="1">
      <formula>$G$13="A/C Only"</formula>
    </cfRule>
  </conditionalFormatting>
  <dataValidations disablePrompts="1"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 xr:uid="{00000000-0002-0000-0800-000000000000}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_x000a__x000a_Also, make sure it corresponds with the CFM listed in cell E-26." sqref="H34" xr:uid="{00000000-0002-0000-0800-000001000000}">
      <formula1>H34&lt;G34</formula1>
    </dataValidation>
    <dataValidation allowBlank="1" showInputMessage="1" showErrorMessage="1" prompt="Be sure to record the capacity of the equipment at the outdoor condition listed in cell C-24. _x000a__x000a_Also, make sure it corresponds with the CFM listed in cell E-26." sqref="G34" xr:uid="{00000000-0002-0000-0800-000002000000}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_x000a__x000a_If your outdoor design temperature (J-7) ends with a 5, this cell should match the number in cell G-32." sqref="H45" xr:uid="{00000000-0002-0000-0800-000003000000}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_x000a__x000a_If your outdoor design temperature (J-7) ends with a 5, this cell should match the number in cell G-32." sqref="G45" xr:uid="{00000000-0002-0000-0800-000004000000}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 xr:uid="{00000000-0002-0000-0800-000005000000}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 xr:uid="{00000000-0002-0000-0800-000006000000}">
      <formula1>F32&lt;F30</formula1>
    </dataValidation>
    <dataValidation type="custom" allowBlank="1" showInputMessage="1" showErrorMessage="1" errorTitle="INCORRECT # ENTERED" error="The sensible capacity should be less than the total capacity." sqref="H43" xr:uid="{00000000-0002-0000-0800-000007000000}">
      <formula1>H43&lt;=G43</formula1>
    </dataValidation>
    <dataValidation type="custom" allowBlank="1" showInputMessage="1" showErrorMessage="1" errorTitle="INCORRECT # ENTERED" error="The heat pump capacity @ 47 should be larger than the capacity @ 17." sqref="E60" xr:uid="{00000000-0002-0000-0800-000008000000}">
      <formula1>E60&gt;F60</formula1>
    </dataValidation>
    <dataValidation type="custom" allowBlank="1" showInputMessage="1" showErrorMessage="1" errorTitle="INCORRECT # ENTERED" error="The furnace's input capacity should be larger than the output capacity." sqref="E64" xr:uid="{00000000-0002-0000-0800-000009000000}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 xr:uid="{00000000-0002-0000-0800-00000A000000}">
      <formula1>C24&lt;=F64</formula1>
    </dataValidation>
    <dataValidation type="custom" allowBlank="1" showInputMessage="1" showErrorMessage="1" errorTitle="INCORRECT # ENTERED" error="The sensible capacity should be less than the total capacity." sqref="H39 E24:F24" xr:uid="{00000000-0002-0000-0800-00000B000000}">
      <formula1>E24&lt;D24</formula1>
    </dataValidation>
    <dataValidation type="custom" allowBlank="1" showInputMessage="1" showErrorMessage="1" errorTitle="INVALID # ENTERED" error="This # should be lessr-than or equal-to the outdoor design temperature (Cell J-7)." sqref="C26" xr:uid="{00000000-0002-0000-0800-00000C000000}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 xr:uid="{00000000-0002-0000-0800-00000D000000}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 xml:space="preserve">&amp;C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Help</vt:lpstr>
      <vt:lpstr>Form S-1a</vt:lpstr>
      <vt:lpstr>Form S-1b</vt:lpstr>
      <vt:lpstr>Form S-1c</vt:lpstr>
      <vt:lpstr>Form S-1d</vt:lpstr>
      <vt:lpstr>Data</vt:lpstr>
      <vt:lpstr>System3</vt:lpstr>
      <vt:lpstr>System4</vt:lpstr>
      <vt:lpstr>System5</vt:lpstr>
      <vt:lpstr>System6</vt:lpstr>
      <vt:lpstr>System7</vt:lpstr>
      <vt:lpstr>System8</vt:lpstr>
      <vt:lpstr>System9</vt:lpstr>
      <vt:lpstr>System10</vt:lpstr>
      <vt:lpstr>'Form S-1a'!Print_Area</vt:lpstr>
      <vt:lpstr>System10!Print_Area</vt:lpstr>
      <vt:lpstr>System3!Print_Area</vt:lpstr>
      <vt:lpstr>System4!Print_Area</vt:lpstr>
      <vt:lpstr>System5!Print_Area</vt:lpstr>
      <vt:lpstr>System6!Print_Area</vt:lpstr>
      <vt:lpstr>System7!Print_Area</vt:lpstr>
      <vt:lpstr>System8!Print_Area</vt:lpstr>
      <vt:lpstr>System9!Print_Area</vt:lpstr>
    </vt:vector>
  </TitlesOfParts>
  <Manager>Kenneth B. Watson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B. Watson</dc:creator>
  <cp:lastModifiedBy>Kenny</cp:lastModifiedBy>
  <cp:lastPrinted>2016-08-17T23:09:20Z</cp:lastPrinted>
  <dcterms:created xsi:type="dcterms:W3CDTF">1998-02-11T13:33:03Z</dcterms:created>
  <dcterms:modified xsi:type="dcterms:W3CDTF">2020-11-12T02:36:41Z</dcterms:modified>
</cp:coreProperties>
</file>